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บัญชี\ต้นทุนต่อหน่วยผลผลิต\ต้นทุนผลผลิตปี 61\"/>
    </mc:Choice>
  </mc:AlternateContent>
  <xr:revisionPtr revIDLastSave="0" documentId="13_ncr:1_{756A2E80-8765-44E2-9571-B095D18CCC85}" xr6:coauthVersionLast="41" xr6:coauthVersionMax="41" xr10:uidLastSave="{00000000-0000-0000-0000-000000000000}"/>
  <bookViews>
    <workbookView xWindow="-120" yWindow="-120" windowWidth="24240" windowHeight="13140" tabRatio="516" xr2:uid="{00000000-000D-0000-FFFF-FFFF00000000}"/>
  </bookViews>
  <sheets>
    <sheet name="ตาราง 1" sheetId="1" r:id="rId1"/>
    <sheet name="ตาราง 2" sheetId="2" r:id="rId2"/>
    <sheet name="ตาราง 3" sheetId="3" r:id="rId3"/>
    <sheet name="ตาราง 4" sheetId="4" r:id="rId4"/>
    <sheet name="ตาราง 5" sheetId="5" r:id="rId5"/>
    <sheet name="ตาราง 6" sheetId="6" r:id="rId6"/>
    <sheet name="ตาราง 7" sheetId="8" r:id="rId7"/>
    <sheet name="วิเคราะห์ตาราง 7" sheetId="16" r:id="rId8"/>
    <sheet name="ตาราง 8" sheetId="9" r:id="rId9"/>
    <sheet name="วิเคราะห์ตาราง 8" sheetId="17" r:id="rId10"/>
    <sheet name="ตาราง 9" sheetId="10" r:id="rId11"/>
    <sheet name="วิเคราะห์ตาราง 9" sheetId="18" r:id="rId12"/>
    <sheet name="ตาราง 10" sheetId="11" r:id="rId13"/>
    <sheet name="ตาราง 2 (2)" sheetId="14" state="hidden" r:id="rId14"/>
    <sheet name="วิเคราะห์ตาราง 10" sheetId="19" r:id="rId15"/>
    <sheet name="ตาราง 11" sheetId="12" r:id="rId16"/>
    <sheet name="วิเคราะห์ตาราง 11" sheetId="21" r:id="rId17"/>
    <sheet name="ตาราง 12" sheetId="15" r:id="rId18"/>
    <sheet name="วิเคราะห์ตาราง 12" sheetId="20" r:id="rId19"/>
  </sheets>
  <externalReferences>
    <externalReference r:id="rId20"/>
    <externalReference r:id="rId21"/>
  </externalReferences>
  <definedNames>
    <definedName name="_xlnm.Print_Area" localSheetId="0">'ตาราง 1'!$A$1:$H$33</definedName>
    <definedName name="_xlnm.Print_Area" localSheetId="12">'ตาราง 10'!$A$1:$W$10</definedName>
    <definedName name="_xlnm.Print_Area" localSheetId="17">'ตาราง 12'!$A$1:$K$18</definedName>
    <definedName name="_xlnm.Print_Area" localSheetId="2">'ตาราง 3'!$B$1:$K$100</definedName>
    <definedName name="_xlnm.Print_Area" localSheetId="3">'ตาราง 4'!$A$1:$J$31</definedName>
    <definedName name="_xlnm.Print_Area" localSheetId="4">'ตาราง 5'!$A$1:$I$12</definedName>
    <definedName name="_xlnm.Print_Area" localSheetId="6">'ตาราง 7'!$A$1:$W$231</definedName>
    <definedName name="_xlnm.Print_Area" localSheetId="8">'ตาราง 8'!$A$25:$W$37</definedName>
    <definedName name="_xlnm.Print_Area" localSheetId="10">'ตาราง 9'!$A$1:$V$15</definedName>
    <definedName name="_xlnm.Print_Area" localSheetId="9">'วิเคราะห์ตาราง 8'!$A$1:$C$10</definedName>
    <definedName name="_xlnm.Print_Titles" localSheetId="2">'ตาราง 3'!$3:$3</definedName>
    <definedName name="_xlnm.Print_Titles" localSheetId="6">'ตาราง 7'!$4:$4</definedName>
    <definedName name="_xlnm.Print_Titles" localSheetId="8">'ตาราง 8'!$4:$7</definedName>
    <definedName name="_xlnm.Print_Titles" localSheetId="7">'วิเคราะห์ตาราง 7'!$3:$3</definedName>
  </definedNames>
  <calcPr calcId="181029"/>
</workbook>
</file>

<file path=xl/calcChain.xml><?xml version="1.0" encoding="utf-8"?>
<calcChain xmlns="http://schemas.openxmlformats.org/spreadsheetml/2006/main">
  <c r="P14" i="10" l="1"/>
  <c r="O14" i="10"/>
  <c r="N14" i="10"/>
  <c r="M14" i="10"/>
  <c r="L14" i="10"/>
  <c r="V7" i="10"/>
  <c r="D37" i="9"/>
  <c r="E37" i="9"/>
  <c r="F37" i="9"/>
  <c r="G37" i="9"/>
  <c r="C37" i="9"/>
  <c r="N37" i="9"/>
  <c r="O37" i="9"/>
  <c r="P37" i="9"/>
  <c r="Q37" i="9"/>
  <c r="M37" i="9"/>
  <c r="E14" i="1"/>
  <c r="V17" i="9" l="1"/>
  <c r="V144" i="8" l="1"/>
  <c r="V41" i="8" l="1"/>
  <c r="V217" i="8" l="1"/>
  <c r="V215" i="8"/>
  <c r="V211" i="8"/>
  <c r="V209" i="8"/>
  <c r="V207" i="8"/>
  <c r="V205" i="8"/>
  <c r="V203" i="8"/>
  <c r="V201" i="8"/>
  <c r="V179" i="8"/>
  <c r="V175" i="8"/>
  <c r="V173" i="8"/>
  <c r="V171" i="8"/>
  <c r="V169" i="8"/>
  <c r="V165" i="8"/>
  <c r="V147" i="8"/>
  <c r="V124" i="8"/>
  <c r="V118" i="8"/>
  <c r="V106" i="8"/>
  <c r="V104" i="8"/>
  <c r="V102" i="8"/>
  <c r="V100" i="8"/>
  <c r="V98" i="8"/>
  <c r="V96" i="8"/>
  <c r="V92" i="8"/>
  <c r="V88" i="8"/>
  <c r="V86" i="8"/>
  <c r="V68" i="8"/>
  <c r="V66" i="8"/>
  <c r="V64" i="8"/>
  <c r="V48" i="8"/>
  <c r="V33" i="8"/>
  <c r="V14" i="8"/>
  <c r="V6" i="8"/>
  <c r="J10" i="12" l="1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B37" i="14"/>
  <c r="V9" i="11"/>
  <c r="V8" i="11"/>
  <c r="V7" i="11"/>
  <c r="V6" i="11"/>
  <c r="U11" i="10"/>
  <c r="U10" i="10"/>
  <c r="U9" i="10"/>
  <c r="U8" i="10"/>
  <c r="U7" i="10"/>
  <c r="U6" i="10"/>
  <c r="V25" i="9"/>
  <c r="V23" i="9"/>
  <c r="V24" i="9"/>
  <c r="V22" i="9"/>
  <c r="V12" i="9"/>
  <c r="V13" i="9"/>
  <c r="V10" i="9"/>
  <c r="V9" i="9"/>
  <c r="V8" i="9"/>
  <c r="N33" i="9"/>
  <c r="M33" i="9"/>
  <c r="T40" i="12" l="1"/>
  <c r="W10" i="12"/>
  <c r="I11" i="5" l="1"/>
  <c r="I10" i="5"/>
  <c r="I9" i="5"/>
  <c r="I8" i="5"/>
  <c r="I7" i="5"/>
  <c r="I6" i="5"/>
  <c r="I5" i="5"/>
  <c r="I4" i="5"/>
  <c r="E10" i="15" l="1"/>
  <c r="E9" i="15"/>
  <c r="E8" i="15"/>
  <c r="G12" i="15"/>
  <c r="F12" i="15"/>
  <c r="D12" i="15"/>
  <c r="C12" i="15"/>
  <c r="J10" i="15"/>
  <c r="H10" i="15"/>
  <c r="K10" i="15" s="1"/>
  <c r="I9" i="15"/>
  <c r="H9" i="15"/>
  <c r="I8" i="15"/>
  <c r="H8" i="15"/>
  <c r="U23" i="12"/>
  <c r="M37" i="14"/>
  <c r="M39" i="14" s="1"/>
  <c r="G37" i="14"/>
  <c r="N11" i="12"/>
  <c r="N12" i="12"/>
  <c r="U12" i="12" s="1"/>
  <c r="N13" i="12"/>
  <c r="V13" i="12" s="1"/>
  <c r="N14" i="12"/>
  <c r="N15" i="12"/>
  <c r="N16" i="12"/>
  <c r="N17" i="12"/>
  <c r="V17" i="12" s="1"/>
  <c r="N18" i="12"/>
  <c r="N19" i="12"/>
  <c r="N20" i="12"/>
  <c r="N21" i="12"/>
  <c r="V21" i="12" s="1"/>
  <c r="N22" i="12"/>
  <c r="N23" i="12"/>
  <c r="N24" i="12"/>
  <c r="N10" i="12"/>
  <c r="L37" i="14"/>
  <c r="K37" i="14"/>
  <c r="J37" i="14"/>
  <c r="H37" i="14"/>
  <c r="D37" i="14"/>
  <c r="C37" i="14"/>
  <c r="N36" i="14"/>
  <c r="I36" i="14"/>
  <c r="N35" i="14"/>
  <c r="F35" i="14"/>
  <c r="I35" i="14" s="1"/>
  <c r="O35" i="14" s="1"/>
  <c r="N34" i="14"/>
  <c r="F34" i="14"/>
  <c r="I34" i="14" s="1"/>
  <c r="O34" i="14" s="1"/>
  <c r="N33" i="14"/>
  <c r="F33" i="14"/>
  <c r="I33" i="14" s="1"/>
  <c r="O33" i="14" s="1"/>
  <c r="N32" i="14"/>
  <c r="I32" i="14"/>
  <c r="O32" i="14" s="1"/>
  <c r="H32" i="14"/>
  <c r="F32" i="14"/>
  <c r="N31" i="14"/>
  <c r="I31" i="14"/>
  <c r="O31" i="14" s="1"/>
  <c r="F31" i="14"/>
  <c r="N30" i="14"/>
  <c r="F30" i="14"/>
  <c r="I30" i="14" s="1"/>
  <c r="O30" i="14" s="1"/>
  <c r="N29" i="14"/>
  <c r="F29" i="14"/>
  <c r="I29" i="14" s="1"/>
  <c r="O29" i="14" s="1"/>
  <c r="N28" i="14"/>
  <c r="F28" i="14"/>
  <c r="I28" i="14" s="1"/>
  <c r="O28" i="14" s="1"/>
  <c r="N27" i="14"/>
  <c r="F27" i="14"/>
  <c r="I27" i="14" s="1"/>
  <c r="O27" i="14" s="1"/>
  <c r="N26" i="14"/>
  <c r="F26" i="14"/>
  <c r="I26" i="14" s="1"/>
  <c r="N25" i="14"/>
  <c r="F25" i="14"/>
  <c r="I25" i="14" s="1"/>
  <c r="O25" i="14" s="1"/>
  <c r="N24" i="14"/>
  <c r="I24" i="14"/>
  <c r="N22" i="14"/>
  <c r="I22" i="14"/>
  <c r="N21" i="14"/>
  <c r="I21" i="14"/>
  <c r="N20" i="14"/>
  <c r="I20" i="14"/>
  <c r="O20" i="14" s="1"/>
  <c r="N19" i="14"/>
  <c r="I19" i="14"/>
  <c r="O19" i="14" s="1"/>
  <c r="N18" i="14"/>
  <c r="I18" i="14"/>
  <c r="O18" i="14" s="1"/>
  <c r="N17" i="14"/>
  <c r="I17" i="14"/>
  <c r="O17" i="14" s="1"/>
  <c r="N16" i="14"/>
  <c r="F16" i="14"/>
  <c r="E16" i="14"/>
  <c r="N15" i="14"/>
  <c r="F15" i="14"/>
  <c r="I15" i="14" s="1"/>
  <c r="N14" i="14"/>
  <c r="I14" i="14"/>
  <c r="N13" i="14"/>
  <c r="I13" i="14"/>
  <c r="O13" i="14" s="1"/>
  <c r="N12" i="14"/>
  <c r="F12" i="14"/>
  <c r="I12" i="14" s="1"/>
  <c r="N11" i="14"/>
  <c r="F11" i="14"/>
  <c r="I11" i="14" s="1"/>
  <c r="O11" i="14" s="1"/>
  <c r="N10" i="14"/>
  <c r="I10" i="14"/>
  <c r="N9" i="14"/>
  <c r="I9" i="14"/>
  <c r="N8" i="14"/>
  <c r="F8" i="14"/>
  <c r="Q40" i="12"/>
  <c r="P40" i="12"/>
  <c r="O40" i="12"/>
  <c r="L40" i="12"/>
  <c r="N38" i="12"/>
  <c r="V38" i="12" s="1"/>
  <c r="N37" i="12"/>
  <c r="N36" i="12"/>
  <c r="N35" i="12"/>
  <c r="N34" i="12"/>
  <c r="V34" i="12" s="1"/>
  <c r="N33" i="12"/>
  <c r="N32" i="12"/>
  <c r="N31" i="12"/>
  <c r="N30" i="12"/>
  <c r="V30" i="12" s="1"/>
  <c r="N29" i="12"/>
  <c r="N28" i="12"/>
  <c r="N27" i="12"/>
  <c r="N26" i="12"/>
  <c r="V26" i="12" s="1"/>
  <c r="U24" i="12"/>
  <c r="M40" i="12"/>
  <c r="H40" i="12"/>
  <c r="G40" i="12"/>
  <c r="F40" i="12"/>
  <c r="E40" i="12"/>
  <c r="B40" i="12"/>
  <c r="J38" i="12"/>
  <c r="W38" i="12" s="1"/>
  <c r="D38" i="12"/>
  <c r="J37" i="12"/>
  <c r="W37" i="12" s="1"/>
  <c r="D37" i="12"/>
  <c r="J36" i="12"/>
  <c r="W36" i="12" s="1"/>
  <c r="D36" i="12"/>
  <c r="J35" i="12"/>
  <c r="W35" i="12" s="1"/>
  <c r="D35" i="12"/>
  <c r="I34" i="12"/>
  <c r="J34" i="12" s="1"/>
  <c r="W34" i="12" s="1"/>
  <c r="C34" i="12"/>
  <c r="D34" i="12" s="1"/>
  <c r="I33" i="12"/>
  <c r="J33" i="12" s="1"/>
  <c r="W33" i="12" s="1"/>
  <c r="C33" i="12"/>
  <c r="D33" i="12" s="1"/>
  <c r="J32" i="12"/>
  <c r="W32" i="12" s="1"/>
  <c r="D32" i="12"/>
  <c r="J31" i="12"/>
  <c r="W31" i="12" s="1"/>
  <c r="C31" i="12"/>
  <c r="D31" i="12" s="1"/>
  <c r="J30" i="12"/>
  <c r="W30" i="12" s="1"/>
  <c r="C30" i="12"/>
  <c r="D30" i="12" s="1"/>
  <c r="J29" i="12"/>
  <c r="W29" i="12" s="1"/>
  <c r="C29" i="12"/>
  <c r="D29" i="12" s="1"/>
  <c r="I28" i="12"/>
  <c r="J28" i="12" s="1"/>
  <c r="W28" i="12" s="1"/>
  <c r="C28" i="12"/>
  <c r="D28" i="12" s="1"/>
  <c r="I27" i="12"/>
  <c r="J27" i="12" s="1"/>
  <c r="W27" i="12" s="1"/>
  <c r="C27" i="12"/>
  <c r="D27" i="12" s="1"/>
  <c r="J26" i="12"/>
  <c r="W26" i="12" s="1"/>
  <c r="D26" i="12"/>
  <c r="J24" i="12"/>
  <c r="W24" i="12" s="1"/>
  <c r="D24" i="12"/>
  <c r="J23" i="12"/>
  <c r="W23" i="12" s="1"/>
  <c r="D23" i="12"/>
  <c r="J22" i="12"/>
  <c r="W22" i="12" s="1"/>
  <c r="D22" i="12"/>
  <c r="J21" i="12"/>
  <c r="W21" i="12" s="1"/>
  <c r="D21" i="12"/>
  <c r="J20" i="12"/>
  <c r="W20" i="12" s="1"/>
  <c r="D20" i="12"/>
  <c r="I19" i="12"/>
  <c r="C19" i="12"/>
  <c r="D19" i="12" s="1"/>
  <c r="J18" i="12"/>
  <c r="W18" i="12" s="1"/>
  <c r="C18" i="12"/>
  <c r="D18" i="12" s="1"/>
  <c r="J17" i="12"/>
  <c r="W17" i="12" s="1"/>
  <c r="D17" i="12"/>
  <c r="J16" i="12"/>
  <c r="W16" i="12" s="1"/>
  <c r="D16" i="12"/>
  <c r="J15" i="12"/>
  <c r="W15" i="12" s="1"/>
  <c r="D15" i="12"/>
  <c r="J14" i="12"/>
  <c r="W14" i="12" s="1"/>
  <c r="C14" i="12"/>
  <c r="D14" i="12" s="1"/>
  <c r="J13" i="12"/>
  <c r="W13" i="12" s="1"/>
  <c r="C13" i="12"/>
  <c r="D13" i="12" s="1"/>
  <c r="J12" i="12"/>
  <c r="W12" i="12" s="1"/>
  <c r="C12" i="12"/>
  <c r="J11" i="12"/>
  <c r="W11" i="12" s="1"/>
  <c r="D11" i="12"/>
  <c r="C10" i="12"/>
  <c r="D10" i="12" s="1"/>
  <c r="R10" i="11"/>
  <c r="P10" i="11"/>
  <c r="Q9" i="11"/>
  <c r="L9" i="11"/>
  <c r="Q8" i="11"/>
  <c r="L8" i="11"/>
  <c r="Q7" i="11"/>
  <c r="L7" i="11"/>
  <c r="O10" i="11"/>
  <c r="N10" i="11"/>
  <c r="M10" i="11"/>
  <c r="L6" i="11"/>
  <c r="H10" i="11"/>
  <c r="C9" i="11"/>
  <c r="G9" i="11" s="1"/>
  <c r="J9" i="11" s="1"/>
  <c r="B9" i="11"/>
  <c r="F8" i="11"/>
  <c r="E8" i="11"/>
  <c r="D8" i="11"/>
  <c r="C8" i="11"/>
  <c r="B8" i="11"/>
  <c r="F7" i="11"/>
  <c r="E7" i="11"/>
  <c r="D7" i="11"/>
  <c r="C7" i="11"/>
  <c r="B7" i="11"/>
  <c r="F6" i="11"/>
  <c r="E6" i="11"/>
  <c r="D6" i="11"/>
  <c r="C6" i="11"/>
  <c r="B6" i="11"/>
  <c r="E15" i="10"/>
  <c r="M15" i="10"/>
  <c r="N15" i="10"/>
  <c r="O15" i="10"/>
  <c r="L15" i="10"/>
  <c r="D14" i="10"/>
  <c r="E14" i="10"/>
  <c r="F14" i="10"/>
  <c r="F15" i="10" s="1"/>
  <c r="P13" i="10"/>
  <c r="S13" i="10" s="1"/>
  <c r="T8" i="11" l="1"/>
  <c r="X24" i="12"/>
  <c r="V33" i="12"/>
  <c r="V37" i="12"/>
  <c r="V20" i="12"/>
  <c r="T7" i="11"/>
  <c r="U9" i="11"/>
  <c r="T9" i="11"/>
  <c r="V27" i="12"/>
  <c r="V31" i="12"/>
  <c r="V35" i="12"/>
  <c r="V23" i="12"/>
  <c r="V19" i="12"/>
  <c r="V15" i="12"/>
  <c r="V11" i="12"/>
  <c r="U15" i="12"/>
  <c r="X15" i="12" s="1"/>
  <c r="V29" i="12"/>
  <c r="U10" i="12"/>
  <c r="V10" i="12"/>
  <c r="N40" i="12"/>
  <c r="V24" i="12"/>
  <c r="V16" i="12"/>
  <c r="U13" i="12"/>
  <c r="V28" i="12"/>
  <c r="V32" i="12"/>
  <c r="V36" i="12"/>
  <c r="O12" i="14"/>
  <c r="O26" i="14"/>
  <c r="V22" i="12"/>
  <c r="V18" i="12"/>
  <c r="V14" i="12"/>
  <c r="O9" i="14"/>
  <c r="O14" i="14"/>
  <c r="I16" i="14"/>
  <c r="O16" i="14" s="1"/>
  <c r="O21" i="14"/>
  <c r="O24" i="14"/>
  <c r="O36" i="14"/>
  <c r="G7" i="11"/>
  <c r="U7" i="11" s="1"/>
  <c r="L10" i="11"/>
  <c r="F37" i="14"/>
  <c r="O10" i="14"/>
  <c r="O15" i="14"/>
  <c r="O22" i="14"/>
  <c r="U14" i="12"/>
  <c r="E10" i="11"/>
  <c r="N37" i="14"/>
  <c r="K8" i="15"/>
  <c r="K9" i="15"/>
  <c r="H12" i="15"/>
  <c r="E12" i="15"/>
  <c r="R40" i="12"/>
  <c r="U28" i="12"/>
  <c r="U36" i="12"/>
  <c r="X36" i="12" s="1"/>
  <c r="U35" i="12"/>
  <c r="X35" i="12" s="1"/>
  <c r="U22" i="12"/>
  <c r="U11" i="12"/>
  <c r="I8" i="14"/>
  <c r="E37" i="14"/>
  <c r="F39" i="14" s="1"/>
  <c r="U17" i="12"/>
  <c r="U27" i="12"/>
  <c r="U29" i="12"/>
  <c r="U31" i="12"/>
  <c r="X31" i="12" s="1"/>
  <c r="U33" i="12"/>
  <c r="U37" i="12"/>
  <c r="U16" i="12"/>
  <c r="X16" i="12" s="1"/>
  <c r="U18" i="12"/>
  <c r="X18" i="12" s="1"/>
  <c r="U20" i="12"/>
  <c r="U26" i="12"/>
  <c r="U30" i="12"/>
  <c r="U32" i="12"/>
  <c r="X32" i="12" s="1"/>
  <c r="U34" i="12"/>
  <c r="U21" i="12"/>
  <c r="U38" i="12"/>
  <c r="X38" i="12" s="1"/>
  <c r="U19" i="12"/>
  <c r="S40" i="12"/>
  <c r="K11" i="12"/>
  <c r="K32" i="12"/>
  <c r="K22" i="12"/>
  <c r="K38" i="12"/>
  <c r="K20" i="12"/>
  <c r="K24" i="12"/>
  <c r="C40" i="12"/>
  <c r="K15" i="12"/>
  <c r="K17" i="12"/>
  <c r="I40" i="12"/>
  <c r="K29" i="12"/>
  <c r="K36" i="12"/>
  <c r="K27" i="12"/>
  <c r="K30" i="12"/>
  <c r="K34" i="12"/>
  <c r="K28" i="12"/>
  <c r="K33" i="12"/>
  <c r="D12" i="12"/>
  <c r="D40" i="12" s="1"/>
  <c r="K14" i="12"/>
  <c r="K16" i="12"/>
  <c r="J19" i="12"/>
  <c r="W19" i="12" s="1"/>
  <c r="K26" i="12"/>
  <c r="K10" i="12"/>
  <c r="X10" i="12" s="1"/>
  <c r="K13" i="12"/>
  <c r="K18" i="12"/>
  <c r="K21" i="12"/>
  <c r="K23" i="12"/>
  <c r="X23" i="12" s="1"/>
  <c r="K31" i="12"/>
  <c r="K35" i="12"/>
  <c r="K37" i="12"/>
  <c r="Q6" i="11"/>
  <c r="B10" i="11"/>
  <c r="F10" i="11"/>
  <c r="G8" i="11"/>
  <c r="J8" i="11" s="1"/>
  <c r="W8" i="11" s="1"/>
  <c r="C10" i="11"/>
  <c r="D10" i="11"/>
  <c r="G6" i="11"/>
  <c r="P12" i="10"/>
  <c r="P11" i="10"/>
  <c r="P10" i="10"/>
  <c r="P9" i="10"/>
  <c r="P7" i="10"/>
  <c r="S7" i="10" l="1"/>
  <c r="V12" i="12"/>
  <c r="X21" i="12"/>
  <c r="X26" i="12"/>
  <c r="X37" i="12"/>
  <c r="X27" i="12"/>
  <c r="X11" i="12"/>
  <c r="X28" i="12"/>
  <c r="X14" i="12"/>
  <c r="U40" i="12"/>
  <c r="U8" i="11"/>
  <c r="S11" i="10"/>
  <c r="T11" i="10"/>
  <c r="U6" i="11"/>
  <c r="T6" i="11"/>
  <c r="X30" i="12"/>
  <c r="X29" i="12"/>
  <c r="S9" i="10"/>
  <c r="T10" i="10"/>
  <c r="X34" i="12"/>
  <c r="X20" i="12"/>
  <c r="X33" i="12"/>
  <c r="X17" i="12"/>
  <c r="X22" i="12"/>
  <c r="X13" i="12"/>
  <c r="W7" i="11"/>
  <c r="S12" i="10"/>
  <c r="J7" i="11"/>
  <c r="O8" i="14"/>
  <c r="O37" i="14" s="1"/>
  <c r="I37" i="14"/>
  <c r="K19" i="12"/>
  <c r="X19" i="12" s="1"/>
  <c r="K12" i="12"/>
  <c r="X12" i="12" s="1"/>
  <c r="J40" i="12"/>
  <c r="Q10" i="11"/>
  <c r="J6" i="11"/>
  <c r="G10" i="11"/>
  <c r="S10" i="10"/>
  <c r="P8" i="10"/>
  <c r="P6" i="10"/>
  <c r="C12" i="10"/>
  <c r="B12" i="10"/>
  <c r="C11" i="10"/>
  <c r="G11" i="10" s="1"/>
  <c r="J11" i="10" s="1"/>
  <c r="B11" i="10"/>
  <c r="C10" i="10"/>
  <c r="G10" i="10" s="1"/>
  <c r="B10" i="10"/>
  <c r="C9" i="10"/>
  <c r="G9" i="10" s="1"/>
  <c r="J9" i="10" s="1"/>
  <c r="B9" i="10"/>
  <c r="D8" i="10"/>
  <c r="D15" i="10" s="1"/>
  <c r="C8" i="10"/>
  <c r="B8" i="10"/>
  <c r="G7" i="10"/>
  <c r="T7" i="10" s="1"/>
  <c r="C6" i="10"/>
  <c r="B6" i="10"/>
  <c r="V11" i="10" l="1"/>
  <c r="T9" i="10"/>
  <c r="W6" i="11"/>
  <c r="V9" i="10"/>
  <c r="G6" i="10"/>
  <c r="T6" i="10" s="1"/>
  <c r="G12" i="10"/>
  <c r="C14" i="10"/>
  <c r="C15" i="10" s="1"/>
  <c r="P15" i="10"/>
  <c r="S6" i="10"/>
  <c r="K40" i="12"/>
  <c r="T10" i="11"/>
  <c r="J10" i="11"/>
  <c r="S8" i="10"/>
  <c r="V8" i="10" s="1"/>
  <c r="G8" i="10"/>
  <c r="T8" i="10" s="1"/>
  <c r="B15" i="10"/>
  <c r="J10" i="10"/>
  <c r="V10" i="10" s="1"/>
  <c r="J12" i="10"/>
  <c r="J7" i="10"/>
  <c r="J8" i="10"/>
  <c r="N21" i="9"/>
  <c r="O21" i="9"/>
  <c r="P21" i="9"/>
  <c r="M21" i="9"/>
  <c r="Q20" i="9"/>
  <c r="T20" i="9" s="1"/>
  <c r="Q16" i="9"/>
  <c r="T16" i="9" s="1"/>
  <c r="Q15" i="9"/>
  <c r="T15" i="9" s="1"/>
  <c r="D21" i="9"/>
  <c r="E21" i="9"/>
  <c r="F21" i="9"/>
  <c r="Q19" i="9"/>
  <c r="T19" i="9" s="1"/>
  <c r="Q26" i="9"/>
  <c r="T26" i="9" s="1"/>
  <c r="Q27" i="9"/>
  <c r="T27" i="9" s="1"/>
  <c r="D33" i="9"/>
  <c r="E33" i="9"/>
  <c r="F33" i="9"/>
  <c r="C33" i="9"/>
  <c r="O33" i="9"/>
  <c r="P33" i="9"/>
  <c r="Q32" i="9"/>
  <c r="T32" i="9" s="1"/>
  <c r="Q36" i="9"/>
  <c r="T36" i="9" s="1"/>
  <c r="Q35" i="9"/>
  <c r="T35" i="9" s="1"/>
  <c r="Q31" i="9"/>
  <c r="T31" i="9" s="1"/>
  <c r="Q30" i="9"/>
  <c r="T30" i="9" s="1"/>
  <c r="Q29" i="9"/>
  <c r="T29" i="9" s="1"/>
  <c r="Q14" i="9"/>
  <c r="T14" i="9" s="1"/>
  <c r="Q11" i="9"/>
  <c r="T11" i="9" s="1"/>
  <c r="Q34" i="9"/>
  <c r="T34" i="9" s="1"/>
  <c r="Q28" i="9"/>
  <c r="T28" i="9" s="1"/>
  <c r="Q25" i="9"/>
  <c r="Q24" i="9"/>
  <c r="Q23" i="9"/>
  <c r="Q22" i="9"/>
  <c r="Q18" i="9"/>
  <c r="T18" i="9" s="1"/>
  <c r="Q17" i="9"/>
  <c r="T17" i="9" s="1"/>
  <c r="Q13" i="9"/>
  <c r="Q12" i="9"/>
  <c r="Q10" i="9"/>
  <c r="Q9" i="9"/>
  <c r="Q8" i="9"/>
  <c r="C34" i="9"/>
  <c r="G34" i="9" s="1"/>
  <c r="B34" i="9"/>
  <c r="G28" i="9"/>
  <c r="J28" i="9" s="1"/>
  <c r="C25" i="9"/>
  <c r="G25" i="9" s="1"/>
  <c r="B25" i="9"/>
  <c r="C24" i="9"/>
  <c r="G24" i="9" s="1"/>
  <c r="B24" i="9"/>
  <c r="C23" i="9"/>
  <c r="G23" i="9" s="1"/>
  <c r="B23" i="9"/>
  <c r="C22" i="9"/>
  <c r="G22" i="9" s="1"/>
  <c r="B22" i="9"/>
  <c r="C18" i="9"/>
  <c r="G18" i="9" s="1"/>
  <c r="B18" i="9"/>
  <c r="C17" i="9"/>
  <c r="G17" i="9" s="1"/>
  <c r="J17" i="9" s="1"/>
  <c r="B17" i="9"/>
  <c r="C13" i="9"/>
  <c r="G13" i="9" s="1"/>
  <c r="B13" i="9"/>
  <c r="C12" i="9"/>
  <c r="G12" i="9" s="1"/>
  <c r="B12" i="9"/>
  <c r="G10" i="9"/>
  <c r="J10" i="9" s="1"/>
  <c r="C9" i="9"/>
  <c r="B9" i="9"/>
  <c r="G8" i="9"/>
  <c r="J8" i="9" s="1"/>
  <c r="T9" i="9" l="1"/>
  <c r="T10" i="9"/>
  <c r="W10" i="9" s="1"/>
  <c r="U10" i="9"/>
  <c r="T25" i="9"/>
  <c r="U25" i="9"/>
  <c r="T12" i="9"/>
  <c r="U12" i="9"/>
  <c r="T22" i="9"/>
  <c r="U22" i="9"/>
  <c r="T24" i="9"/>
  <c r="U24" i="9"/>
  <c r="W17" i="9"/>
  <c r="T8" i="9"/>
  <c r="W8" i="9" s="1"/>
  <c r="U8" i="9"/>
  <c r="T13" i="9"/>
  <c r="U13" i="9"/>
  <c r="T23" i="9"/>
  <c r="U23" i="9"/>
  <c r="G14" i="10"/>
  <c r="G15" i="10" s="1"/>
  <c r="Q33" i="9"/>
  <c r="J6" i="10"/>
  <c r="V6" i="10" s="1"/>
  <c r="Q21" i="9"/>
  <c r="G33" i="9"/>
  <c r="C21" i="9"/>
  <c r="G21" i="9" s="1"/>
  <c r="B37" i="9"/>
  <c r="J22" i="9"/>
  <c r="J18" i="9"/>
  <c r="J24" i="9"/>
  <c r="J23" i="9"/>
  <c r="J12" i="9"/>
  <c r="J25" i="9"/>
  <c r="J13" i="9"/>
  <c r="J34" i="9"/>
  <c r="G9" i="9"/>
  <c r="J9" i="9" s="1"/>
  <c r="Q167" i="8"/>
  <c r="W23" i="9" l="1"/>
  <c r="W12" i="9"/>
  <c r="W13" i="9"/>
  <c r="W22" i="9"/>
  <c r="W9" i="9"/>
  <c r="W24" i="9"/>
  <c r="W25" i="9"/>
  <c r="U9" i="9"/>
  <c r="T167" i="8"/>
  <c r="Q40" i="9"/>
  <c r="Q227" i="8"/>
  <c r="T227" i="8" s="1"/>
  <c r="Q225" i="8"/>
  <c r="T225" i="8" s="1"/>
  <c r="Q223" i="8"/>
  <c r="T223" i="8" s="1"/>
  <c r="Q221" i="8"/>
  <c r="T221" i="8" s="1"/>
  <c r="Q219" i="8"/>
  <c r="T219" i="8" s="1"/>
  <c r="Q199" i="8"/>
  <c r="T199" i="8" s="1"/>
  <c r="Q198" i="8"/>
  <c r="T198" i="8" s="1"/>
  <c r="Q195" i="8"/>
  <c r="T195" i="8" s="1"/>
  <c r="Q194" i="8"/>
  <c r="T194" i="8" s="1"/>
  <c r="Q177" i="8"/>
  <c r="T177" i="8" s="1"/>
  <c r="Q130" i="8"/>
  <c r="T130" i="8" s="1"/>
  <c r="Q29" i="8"/>
  <c r="T29" i="8" s="1"/>
  <c r="Q27" i="8"/>
  <c r="T27" i="8" s="1"/>
  <c r="N231" i="8"/>
  <c r="O231" i="8"/>
  <c r="P231" i="8"/>
  <c r="M231" i="8"/>
  <c r="Q157" i="8"/>
  <c r="T157" i="8" s="1"/>
  <c r="Q155" i="8"/>
  <c r="T155" i="8" s="1"/>
  <c r="Q153" i="8"/>
  <c r="T153" i="8" s="1"/>
  <c r="Q151" i="8"/>
  <c r="T151" i="8" s="1"/>
  <c r="Q149" i="8"/>
  <c r="T149" i="8" s="1"/>
  <c r="Q189" i="8"/>
  <c r="T189" i="8" s="1"/>
  <c r="Q169" i="8"/>
  <c r="Q128" i="8"/>
  <c r="T128" i="8" s="1"/>
  <c r="Q62" i="8"/>
  <c r="T62" i="8" s="1"/>
  <c r="Q60" i="8"/>
  <c r="T60" i="8" s="1"/>
  <c r="Q58" i="8"/>
  <c r="Q39" i="8"/>
  <c r="T39" i="8" s="1"/>
  <c r="Q37" i="8"/>
  <c r="T37" i="8" s="1"/>
  <c r="Q31" i="8"/>
  <c r="T31" i="8" s="1"/>
  <c r="Q22" i="8"/>
  <c r="T22" i="8" s="1"/>
  <c r="Q16" i="8"/>
  <c r="T16" i="8" s="1"/>
  <c r="T58" i="8" l="1"/>
  <c r="T169" i="8"/>
  <c r="W169" i="8" s="1"/>
  <c r="U169" i="8"/>
  <c r="Q12" i="8"/>
  <c r="T12" i="8" s="1"/>
  <c r="Q140" i="8"/>
  <c r="T140" i="8" s="1"/>
  <c r="Q138" i="8"/>
  <c r="T138" i="8" s="1"/>
  <c r="Q90" i="8"/>
  <c r="T90" i="8" s="1"/>
  <c r="Q74" i="8"/>
  <c r="T74" i="8" s="1"/>
  <c r="Q134" i="8"/>
  <c r="T134" i="8" s="1"/>
  <c r="Q132" i="8"/>
  <c r="T132" i="8" s="1"/>
  <c r="Q94" i="8"/>
  <c r="T94" i="8" s="1"/>
  <c r="Q126" i="8"/>
  <c r="T126" i="8" s="1"/>
  <c r="Q122" i="8"/>
  <c r="T122" i="8" s="1"/>
  <c r="Q192" i="8"/>
  <c r="T192" i="8" s="1"/>
  <c r="Q193" i="8"/>
  <c r="T193" i="8" s="1"/>
  <c r="Q191" i="8"/>
  <c r="T191" i="8" s="1"/>
  <c r="Q145" i="8" l="1"/>
  <c r="T145" i="8" s="1"/>
  <c r="Q24" i="8"/>
  <c r="Q10" i="8"/>
  <c r="T10" i="8" s="1"/>
  <c r="Q72" i="8"/>
  <c r="Q33" i="8"/>
  <c r="Q42" i="8"/>
  <c r="T42" i="8" s="1"/>
  <c r="Q41" i="8"/>
  <c r="H6" i="3"/>
  <c r="K6" i="3" s="1"/>
  <c r="H7" i="3"/>
  <c r="K7" i="3" s="1"/>
  <c r="H8" i="3"/>
  <c r="K8" i="3" s="1"/>
  <c r="H11" i="3"/>
  <c r="K11" i="3" s="1"/>
  <c r="H12" i="3"/>
  <c r="K12" i="3" s="1"/>
  <c r="H13" i="3"/>
  <c r="K13" i="3" s="1"/>
  <c r="H14" i="3"/>
  <c r="K14" i="3" s="1"/>
  <c r="H15" i="3"/>
  <c r="K15" i="3" s="1"/>
  <c r="H16" i="3"/>
  <c r="K16" i="3" s="1"/>
  <c r="H17" i="3"/>
  <c r="K17" i="3" s="1"/>
  <c r="H19" i="3"/>
  <c r="K19" i="3" s="1"/>
  <c r="H20" i="3"/>
  <c r="K20" i="3" s="1"/>
  <c r="H21" i="3"/>
  <c r="K21" i="3" s="1"/>
  <c r="H23" i="3"/>
  <c r="K23" i="3" s="1"/>
  <c r="H24" i="3"/>
  <c r="K24" i="3" s="1"/>
  <c r="H25" i="3"/>
  <c r="K25" i="3" s="1"/>
  <c r="H28" i="3"/>
  <c r="K28" i="3" s="1"/>
  <c r="H30" i="3"/>
  <c r="K30" i="3" s="1"/>
  <c r="H32" i="3"/>
  <c r="K32" i="3" s="1"/>
  <c r="H33" i="3"/>
  <c r="K33" i="3" s="1"/>
  <c r="H35" i="3"/>
  <c r="K35" i="3" s="1"/>
  <c r="H36" i="3"/>
  <c r="K36" i="3" s="1"/>
  <c r="H37" i="3"/>
  <c r="K37" i="3" s="1"/>
  <c r="H38" i="3"/>
  <c r="K38" i="3" s="1"/>
  <c r="H41" i="3"/>
  <c r="K41" i="3" s="1"/>
  <c r="H42" i="3"/>
  <c r="K42" i="3" s="1"/>
  <c r="H43" i="3"/>
  <c r="K43" i="3" s="1"/>
  <c r="H44" i="3"/>
  <c r="K44" i="3" s="1"/>
  <c r="H45" i="3"/>
  <c r="K45" i="3" s="1"/>
  <c r="H47" i="3"/>
  <c r="K47" i="3" s="1"/>
  <c r="H48" i="3"/>
  <c r="K48" i="3" s="1"/>
  <c r="H51" i="3"/>
  <c r="K51" i="3" s="1"/>
  <c r="H53" i="3"/>
  <c r="K53" i="3" s="1"/>
  <c r="H55" i="3"/>
  <c r="K55" i="3" s="1"/>
  <c r="H56" i="3"/>
  <c r="K56" i="3" s="1"/>
  <c r="H57" i="3"/>
  <c r="K57" i="3" s="1"/>
  <c r="H58" i="3"/>
  <c r="K58" i="3" s="1"/>
  <c r="H59" i="3"/>
  <c r="K59" i="3" s="1"/>
  <c r="H60" i="3"/>
  <c r="K60" i="3" s="1"/>
  <c r="H61" i="3"/>
  <c r="K61" i="3" s="1"/>
  <c r="H62" i="3"/>
  <c r="K62" i="3" s="1"/>
  <c r="H63" i="3"/>
  <c r="K63" i="3" s="1"/>
  <c r="H64" i="3"/>
  <c r="K64" i="3" s="1"/>
  <c r="H65" i="3"/>
  <c r="K65" i="3" s="1"/>
  <c r="H67" i="3"/>
  <c r="K67" i="3" s="1"/>
  <c r="H68" i="3"/>
  <c r="K68" i="3" s="1"/>
  <c r="H70" i="3"/>
  <c r="K70" i="3" s="1"/>
  <c r="H71" i="3"/>
  <c r="K71" i="3" s="1"/>
  <c r="H72" i="3"/>
  <c r="K72" i="3" s="1"/>
  <c r="H73" i="3"/>
  <c r="K73" i="3" s="1"/>
  <c r="H74" i="3"/>
  <c r="K74" i="3" s="1"/>
  <c r="H76" i="3"/>
  <c r="K76" i="3" s="1"/>
  <c r="H77" i="3"/>
  <c r="K77" i="3" s="1"/>
  <c r="H78" i="3"/>
  <c r="K78" i="3" s="1"/>
  <c r="H79" i="3"/>
  <c r="K79" i="3" s="1"/>
  <c r="H80" i="3"/>
  <c r="K80" i="3" s="1"/>
  <c r="H81" i="3"/>
  <c r="K81" i="3" s="1"/>
  <c r="H83" i="3"/>
  <c r="K83" i="3" s="1"/>
  <c r="H85" i="3"/>
  <c r="K85" i="3" s="1"/>
  <c r="H86" i="3"/>
  <c r="K86" i="3" s="1"/>
  <c r="H87" i="3"/>
  <c r="K87" i="3" s="1"/>
  <c r="H88" i="3"/>
  <c r="K88" i="3" s="1"/>
  <c r="H89" i="3"/>
  <c r="K89" i="3" s="1"/>
  <c r="H90" i="3"/>
  <c r="K90" i="3" s="1"/>
  <c r="H91" i="3"/>
  <c r="K91" i="3" s="1"/>
  <c r="H92" i="3"/>
  <c r="K92" i="3" s="1"/>
  <c r="H93" i="3"/>
  <c r="K93" i="3" s="1"/>
  <c r="H94" i="3"/>
  <c r="K94" i="3" s="1"/>
  <c r="H95" i="3"/>
  <c r="K95" i="3" s="1"/>
  <c r="H96" i="3"/>
  <c r="K96" i="3" s="1"/>
  <c r="H97" i="3"/>
  <c r="K97" i="3" s="1"/>
  <c r="H98" i="3"/>
  <c r="K98" i="3" s="1"/>
  <c r="H99" i="3"/>
  <c r="K99" i="3" s="1"/>
  <c r="H5" i="3"/>
  <c r="K5" i="3" s="1"/>
  <c r="E100" i="3"/>
  <c r="F100" i="3"/>
  <c r="G100" i="3"/>
  <c r="B250" i="8"/>
  <c r="B248" i="8"/>
  <c r="B247" i="8"/>
  <c r="F231" i="8"/>
  <c r="E231" i="8"/>
  <c r="D231" i="8"/>
  <c r="G219" i="8"/>
  <c r="J219" i="8" s="1"/>
  <c r="G217" i="8"/>
  <c r="J217" i="8" s="1"/>
  <c r="G215" i="8"/>
  <c r="J215" i="8" s="1"/>
  <c r="G211" i="8"/>
  <c r="J211" i="8" s="1"/>
  <c r="G209" i="8"/>
  <c r="J209" i="8" s="1"/>
  <c r="G175" i="8"/>
  <c r="J175" i="8" s="1"/>
  <c r="G173" i="8"/>
  <c r="J173" i="8" s="1"/>
  <c r="C78" i="8"/>
  <c r="G78" i="8" s="1"/>
  <c r="J78" i="8" s="1"/>
  <c r="B78" i="8"/>
  <c r="G165" i="8"/>
  <c r="J165" i="8" s="1"/>
  <c r="G205" i="8"/>
  <c r="J205" i="8" s="1"/>
  <c r="G203" i="8"/>
  <c r="J203" i="8" s="1"/>
  <c r="G201" i="8"/>
  <c r="J201" i="8" s="1"/>
  <c r="G197" i="8"/>
  <c r="J197" i="8" s="1"/>
  <c r="G191" i="8"/>
  <c r="J191" i="8" s="1"/>
  <c r="C229" i="8"/>
  <c r="G229" i="8" s="1"/>
  <c r="J229" i="8" s="1"/>
  <c r="B229" i="8"/>
  <c r="G213" i="8"/>
  <c r="J213" i="8" s="1"/>
  <c r="G207" i="8"/>
  <c r="J207" i="8" s="1"/>
  <c r="G167" i="8"/>
  <c r="G163" i="8"/>
  <c r="J163" i="8" s="1"/>
  <c r="G116" i="8"/>
  <c r="J116" i="8" s="1"/>
  <c r="G106" i="8"/>
  <c r="J106" i="8" s="1"/>
  <c r="G185" i="8"/>
  <c r="J185" i="8" s="1"/>
  <c r="G181" i="8"/>
  <c r="J181" i="8" s="1"/>
  <c r="C183" i="8"/>
  <c r="G183" i="8" s="1"/>
  <c r="J183" i="8" s="1"/>
  <c r="B183" i="8"/>
  <c r="G187" i="8"/>
  <c r="J187" i="8" s="1"/>
  <c r="C171" i="8"/>
  <c r="G171" i="8" s="1"/>
  <c r="J171" i="8" s="1"/>
  <c r="B171" i="8"/>
  <c r="C136" i="8"/>
  <c r="G136" i="8" s="1"/>
  <c r="J136" i="8" s="1"/>
  <c r="B136" i="8"/>
  <c r="C46" i="8"/>
  <c r="G46" i="8" s="1"/>
  <c r="J46" i="8" s="1"/>
  <c r="B46" i="8"/>
  <c r="B246" i="8" s="1"/>
  <c r="G112" i="8"/>
  <c r="J112" i="8" s="1"/>
  <c r="G161" i="8"/>
  <c r="J161" i="8" s="1"/>
  <c r="G159" i="8"/>
  <c r="J159" i="8" s="1"/>
  <c r="G142" i="8"/>
  <c r="J142" i="8" s="1"/>
  <c r="G88" i="8"/>
  <c r="J88" i="8" s="1"/>
  <c r="G118" i="8"/>
  <c r="J118" i="8" s="1"/>
  <c r="G92" i="8"/>
  <c r="J92" i="8" s="1"/>
  <c r="C86" i="8"/>
  <c r="G86" i="8" s="1"/>
  <c r="J86" i="8" s="1"/>
  <c r="B86" i="8"/>
  <c r="G48" i="8"/>
  <c r="J48" i="8" s="1"/>
  <c r="G147" i="8"/>
  <c r="J147" i="8" s="1"/>
  <c r="G108" i="8"/>
  <c r="J108" i="8" s="1"/>
  <c r="G110" i="8"/>
  <c r="J110" i="8" s="1"/>
  <c r="G144" i="8"/>
  <c r="J144" i="8" s="1"/>
  <c r="G100" i="8"/>
  <c r="J100" i="8" s="1"/>
  <c r="G104" i="8"/>
  <c r="J104" i="8" s="1"/>
  <c r="G102" i="8"/>
  <c r="J102" i="8" s="1"/>
  <c r="G124" i="8"/>
  <c r="J124" i="8" s="1"/>
  <c r="G114" i="8"/>
  <c r="J114" i="8" s="1"/>
  <c r="C120" i="8"/>
  <c r="G120" i="8" s="1"/>
  <c r="J120" i="8" s="1"/>
  <c r="B120" i="8"/>
  <c r="G96" i="8"/>
  <c r="J96" i="8" s="1"/>
  <c r="C98" i="8"/>
  <c r="G98" i="8" s="1"/>
  <c r="J98" i="8" s="1"/>
  <c r="B98" i="8"/>
  <c r="G179" i="8"/>
  <c r="J179" i="8" s="1"/>
  <c r="G44" i="8"/>
  <c r="J44" i="8" s="1"/>
  <c r="G35" i="8"/>
  <c r="J35" i="8" s="1"/>
  <c r="G18" i="8"/>
  <c r="J18" i="8" s="1"/>
  <c r="G20" i="8"/>
  <c r="J20" i="8" s="1"/>
  <c r="G8" i="8"/>
  <c r="J8" i="8" s="1"/>
  <c r="G25" i="8"/>
  <c r="J25" i="8" s="1"/>
  <c r="C24" i="8"/>
  <c r="G24" i="8" s="1"/>
  <c r="J24" i="8" s="1"/>
  <c r="B24" i="8"/>
  <c r="G52" i="8"/>
  <c r="J52" i="8" s="1"/>
  <c r="G6" i="8"/>
  <c r="C14" i="8"/>
  <c r="G14" i="8" s="1"/>
  <c r="J14" i="8" s="1"/>
  <c r="B14" i="8"/>
  <c r="C66" i="8"/>
  <c r="G66" i="8" s="1"/>
  <c r="J66" i="8" s="1"/>
  <c r="G84" i="8"/>
  <c r="J84" i="8" s="1"/>
  <c r="G82" i="8"/>
  <c r="J82" i="8" s="1"/>
  <c r="C76" i="8"/>
  <c r="G76" i="8" s="1"/>
  <c r="J76" i="8" s="1"/>
  <c r="B76" i="8"/>
  <c r="G56" i="8"/>
  <c r="J56" i="8" s="1"/>
  <c r="G64" i="8"/>
  <c r="J64" i="8" s="1"/>
  <c r="G54" i="8"/>
  <c r="J54" i="8" s="1"/>
  <c r="G70" i="8"/>
  <c r="J70" i="8" s="1"/>
  <c r="G50" i="8"/>
  <c r="J50" i="8" s="1"/>
  <c r="G80" i="8"/>
  <c r="G72" i="8"/>
  <c r="J72" i="8" s="1"/>
  <c r="C68" i="8"/>
  <c r="G68" i="8" s="1"/>
  <c r="J68" i="8" s="1"/>
  <c r="C33" i="8"/>
  <c r="B33" i="8"/>
  <c r="G41" i="8"/>
  <c r="J41" i="8" s="1"/>
  <c r="T41" i="8" l="1"/>
  <c r="U41" i="8"/>
  <c r="J167" i="8"/>
  <c r="T24" i="8"/>
  <c r="T72" i="8"/>
  <c r="T33" i="8"/>
  <c r="J6" i="8"/>
  <c r="B251" i="8"/>
  <c r="C231" i="8"/>
  <c r="B231" i="8"/>
  <c r="G33" i="8"/>
  <c r="J33" i="8" s="1"/>
  <c r="L250" i="8"/>
  <c r="L248" i="8"/>
  <c r="L247" i="8"/>
  <c r="Q217" i="8"/>
  <c r="Q215" i="8"/>
  <c r="Q211" i="8"/>
  <c r="U211" i="8" s="1"/>
  <c r="Q209" i="8"/>
  <c r="U209" i="8" s="1"/>
  <c r="Q175" i="8"/>
  <c r="Q173" i="8"/>
  <c r="Q78" i="8"/>
  <c r="L78" i="8"/>
  <c r="Q165" i="8"/>
  <c r="Q205" i="8"/>
  <c r="U205" i="8" s="1"/>
  <c r="Q203" i="8"/>
  <c r="U203" i="8" s="1"/>
  <c r="Q201" i="8"/>
  <c r="Q197" i="8"/>
  <c r="T197" i="8" s="1"/>
  <c r="L229" i="8"/>
  <c r="Q213" i="8"/>
  <c r="Q207" i="8"/>
  <c r="Q106" i="8"/>
  <c r="Q181" i="8"/>
  <c r="L183" i="8"/>
  <c r="Q187" i="8"/>
  <c r="Q171" i="8"/>
  <c r="U171" i="8" s="1"/>
  <c r="Q136" i="8"/>
  <c r="L136" i="8"/>
  <c r="L46" i="8"/>
  <c r="L246" i="8" s="1"/>
  <c r="Q142" i="8"/>
  <c r="Q88" i="8"/>
  <c r="Q118" i="8"/>
  <c r="Q92" i="8"/>
  <c r="Q86" i="8"/>
  <c r="L86" i="8"/>
  <c r="Q48" i="8"/>
  <c r="Q147" i="8"/>
  <c r="Q144" i="8"/>
  <c r="Q100" i="8"/>
  <c r="Q104" i="8"/>
  <c r="Q102" i="8"/>
  <c r="U102" i="8" s="1"/>
  <c r="Q124" i="8"/>
  <c r="Q120" i="8"/>
  <c r="L120" i="8"/>
  <c r="Q96" i="8"/>
  <c r="Q98" i="8"/>
  <c r="L98" i="8"/>
  <c r="Q179" i="8"/>
  <c r="Q18" i="8"/>
  <c r="Q20" i="8"/>
  <c r="Q8" i="8"/>
  <c r="L24" i="8"/>
  <c r="Q6" i="8"/>
  <c r="Q14" i="8"/>
  <c r="L14" i="8"/>
  <c r="Q66" i="8"/>
  <c r="Q76" i="8"/>
  <c r="Q64" i="8"/>
  <c r="Q68" i="8"/>
  <c r="T144" i="8" l="1"/>
  <c r="W144" i="8" s="1"/>
  <c r="U144" i="8"/>
  <c r="U100" i="8"/>
  <c r="T100" i="8"/>
  <c r="W100" i="8" s="1"/>
  <c r="T136" i="8"/>
  <c r="T181" i="8"/>
  <c r="T173" i="8"/>
  <c r="W173" i="8" s="1"/>
  <c r="U173" i="8"/>
  <c r="U64" i="8"/>
  <c r="T64" i="8"/>
  <c r="W64" i="8" s="1"/>
  <c r="T14" i="8"/>
  <c r="W14" i="8" s="1"/>
  <c r="U14" i="8"/>
  <c r="T98" i="8"/>
  <c r="W98" i="8" s="1"/>
  <c r="U98" i="8"/>
  <c r="U124" i="8"/>
  <c r="T124" i="8"/>
  <c r="W124" i="8" s="1"/>
  <c r="U86" i="8"/>
  <c r="T86" i="8"/>
  <c r="W86" i="8" s="1"/>
  <c r="T142" i="8"/>
  <c r="U106" i="8"/>
  <c r="T106" i="8"/>
  <c r="W106" i="8" s="1"/>
  <c r="T165" i="8"/>
  <c r="W165" i="8" s="1"/>
  <c r="U165" i="8"/>
  <c r="T175" i="8"/>
  <c r="W175" i="8" s="1"/>
  <c r="U175" i="8"/>
  <c r="T217" i="8"/>
  <c r="W217" i="8" s="1"/>
  <c r="U217" i="8"/>
  <c r="T76" i="8"/>
  <c r="U6" i="8"/>
  <c r="T6" i="8"/>
  <c r="W6" i="8" s="1"/>
  <c r="T18" i="8"/>
  <c r="T96" i="8"/>
  <c r="W96" i="8" s="1"/>
  <c r="U96" i="8"/>
  <c r="T147" i="8"/>
  <c r="W147" i="8" s="1"/>
  <c r="U147" i="8"/>
  <c r="T92" i="8"/>
  <c r="W92" i="8" s="1"/>
  <c r="U92" i="8"/>
  <c r="T187" i="8"/>
  <c r="U207" i="8"/>
  <c r="T207" i="8"/>
  <c r="W207" i="8" s="1"/>
  <c r="U201" i="8"/>
  <c r="T201" i="8"/>
  <c r="W201" i="8" s="1"/>
  <c r="U33" i="8"/>
  <c r="T68" i="8"/>
  <c r="W68" i="8" s="1"/>
  <c r="U68" i="8"/>
  <c r="T8" i="8"/>
  <c r="T120" i="8"/>
  <c r="U88" i="8"/>
  <c r="T88" i="8"/>
  <c r="W88" i="8" s="1"/>
  <c r="T215" i="8"/>
  <c r="W215" i="8" s="1"/>
  <c r="U215" i="8"/>
  <c r="T66" i="8"/>
  <c r="W66" i="8" s="1"/>
  <c r="U66" i="8"/>
  <c r="U179" i="8"/>
  <c r="T179" i="8"/>
  <c r="W179" i="8" s="1"/>
  <c r="T104" i="8"/>
  <c r="W104" i="8" s="1"/>
  <c r="U104" i="8"/>
  <c r="T48" i="8"/>
  <c r="W48" i="8" s="1"/>
  <c r="U48" i="8"/>
  <c r="U118" i="8"/>
  <c r="T118" i="8"/>
  <c r="W118" i="8" s="1"/>
  <c r="T78" i="8"/>
  <c r="W33" i="8"/>
  <c r="T171" i="8"/>
  <c r="W171" i="8" s="1"/>
  <c r="T20" i="8"/>
  <c r="T205" i="8"/>
  <c r="W205" i="8" s="1"/>
  <c r="T209" i="8"/>
  <c r="W209" i="8" s="1"/>
  <c r="T213" i="8"/>
  <c r="T102" i="8"/>
  <c r="W102" i="8" s="1"/>
  <c r="T203" i="8"/>
  <c r="W203" i="8" s="1"/>
  <c r="T211" i="8"/>
  <c r="W211" i="8" s="1"/>
  <c r="Q231" i="8"/>
  <c r="Q234" i="8" s="1"/>
  <c r="G231" i="8"/>
  <c r="G234" i="8" s="1"/>
  <c r="L251" i="8"/>
  <c r="L231" i="8"/>
  <c r="F4" i="6"/>
  <c r="I4" i="6" s="1"/>
  <c r="C17" i="5"/>
  <c r="D17" i="5"/>
  <c r="E17" i="5"/>
  <c r="B17" i="5"/>
  <c r="C16" i="5"/>
  <c r="D16" i="5"/>
  <c r="E16" i="5"/>
  <c r="B16" i="5"/>
  <c r="C15" i="5"/>
  <c r="D15" i="5"/>
  <c r="E15" i="5"/>
  <c r="B15" i="5"/>
  <c r="C14" i="5"/>
  <c r="D14" i="5"/>
  <c r="E14" i="5"/>
  <c r="B14" i="5"/>
  <c r="C8" i="6"/>
  <c r="F7" i="6"/>
  <c r="I7" i="6" s="1"/>
  <c r="F6" i="6"/>
  <c r="I6" i="6" s="1"/>
  <c r="F5" i="6"/>
  <c r="I5" i="6" s="1"/>
  <c r="E8" i="6"/>
  <c r="D8" i="6"/>
  <c r="B8" i="6"/>
  <c r="C12" i="5"/>
  <c r="D12" i="5"/>
  <c r="E12" i="5"/>
  <c r="F12" i="5"/>
  <c r="B12" i="5"/>
  <c r="G76" i="4"/>
  <c r="F78" i="4"/>
  <c r="E78" i="4"/>
  <c r="D78" i="4"/>
  <c r="C78" i="4"/>
  <c r="F77" i="4"/>
  <c r="F79" i="4" s="1"/>
  <c r="E77" i="4"/>
  <c r="E79" i="4" s="1"/>
  <c r="D77" i="4"/>
  <c r="D79" i="4" s="1"/>
  <c r="C77" i="4"/>
  <c r="D54" i="4"/>
  <c r="E54" i="4"/>
  <c r="F54" i="4"/>
  <c r="G54" i="4"/>
  <c r="C54" i="4"/>
  <c r="G85" i="4"/>
  <c r="D85" i="4"/>
  <c r="E85" i="4"/>
  <c r="F85" i="4"/>
  <c r="C85" i="4"/>
  <c r="D73" i="4"/>
  <c r="E73" i="4"/>
  <c r="F73" i="4"/>
  <c r="G73" i="4"/>
  <c r="C73" i="4"/>
  <c r="D68" i="4"/>
  <c r="E68" i="4"/>
  <c r="F68" i="4"/>
  <c r="G68" i="4"/>
  <c r="C68" i="4"/>
  <c r="D62" i="4"/>
  <c r="E62" i="4"/>
  <c r="F62" i="4"/>
  <c r="G62" i="4"/>
  <c r="C62" i="4"/>
  <c r="D45" i="4"/>
  <c r="E45" i="4"/>
  <c r="F45" i="4"/>
  <c r="G45" i="4"/>
  <c r="C45" i="4"/>
  <c r="D40" i="4"/>
  <c r="E40" i="4"/>
  <c r="F40" i="4"/>
  <c r="C40" i="4"/>
  <c r="G35" i="4"/>
  <c r="G36" i="4"/>
  <c r="G37" i="4"/>
  <c r="G38" i="4"/>
  <c r="G39" i="4"/>
  <c r="G34" i="4"/>
  <c r="F14" i="5" l="1"/>
  <c r="F15" i="5"/>
  <c r="F16" i="5"/>
  <c r="F17" i="5"/>
  <c r="G77" i="4"/>
  <c r="G78" i="4"/>
  <c r="C79" i="4"/>
  <c r="G40" i="4"/>
  <c r="C29" i="4"/>
  <c r="G29" i="4" s="1"/>
  <c r="J29" i="4" s="1"/>
  <c r="C28" i="4"/>
  <c r="G28" i="4" s="1"/>
  <c r="J28" i="4" s="1"/>
  <c r="C22" i="4"/>
  <c r="G22" i="4" s="1"/>
  <c r="J22" i="4" s="1"/>
  <c r="C21" i="4"/>
  <c r="G21" i="4" s="1"/>
  <c r="J21" i="4" s="1"/>
  <c r="C20" i="4"/>
  <c r="G20" i="4" s="1"/>
  <c r="J20" i="4" s="1"/>
  <c r="C19" i="4"/>
  <c r="G19" i="4" s="1"/>
  <c r="J19" i="4" s="1"/>
  <c r="C18" i="4"/>
  <c r="G18" i="4" s="1"/>
  <c r="J18" i="4" s="1"/>
  <c r="C15" i="4"/>
  <c r="G15" i="4" s="1"/>
  <c r="J15" i="4" s="1"/>
  <c r="C14" i="4"/>
  <c r="G14" i="4" s="1"/>
  <c r="J14" i="4" s="1"/>
  <c r="C13" i="4"/>
  <c r="G13" i="4" s="1"/>
  <c r="J13" i="4" s="1"/>
  <c r="C11" i="4"/>
  <c r="G11" i="4" s="1"/>
  <c r="J11" i="4" s="1"/>
  <c r="C9" i="4"/>
  <c r="G9" i="4" s="1"/>
  <c r="J9" i="4" s="1"/>
  <c r="C5" i="4"/>
  <c r="B31" i="4"/>
  <c r="D31" i="4"/>
  <c r="E31" i="4"/>
  <c r="F31" i="4"/>
  <c r="G10" i="4"/>
  <c r="J10" i="4" s="1"/>
  <c r="G4" i="4"/>
  <c r="J4" i="4" s="1"/>
  <c r="G8" i="4"/>
  <c r="J8" i="4" s="1"/>
  <c r="G5" i="4"/>
  <c r="J5" i="4" s="1"/>
  <c r="G6" i="4"/>
  <c r="J6" i="4" s="1"/>
  <c r="G7" i="4"/>
  <c r="J7" i="4" s="1"/>
  <c r="G27" i="4"/>
  <c r="J27" i="4" s="1"/>
  <c r="G25" i="4"/>
  <c r="J25" i="4" s="1"/>
  <c r="G26" i="4"/>
  <c r="J26" i="4" s="1"/>
  <c r="G24" i="4"/>
  <c r="J24" i="4" s="1"/>
  <c r="G12" i="4"/>
  <c r="J12" i="4" s="1"/>
  <c r="G17" i="4"/>
  <c r="J17" i="4" s="1"/>
  <c r="G23" i="4"/>
  <c r="J23" i="4" s="1"/>
  <c r="G30" i="4"/>
  <c r="J30" i="4" s="1"/>
  <c r="G16" i="4"/>
  <c r="J16" i="4" s="1"/>
  <c r="F18" i="5" l="1"/>
  <c r="G79" i="4"/>
  <c r="G86" i="4" s="1"/>
  <c r="H79" i="4"/>
  <c r="F8" i="6"/>
  <c r="G31" i="4"/>
  <c r="C31" i="4"/>
  <c r="D84" i="3"/>
  <c r="H84" i="3" s="1"/>
  <c r="K84" i="3" s="1"/>
  <c r="D82" i="3"/>
  <c r="H82" i="3" s="1"/>
  <c r="K82" i="3" s="1"/>
  <c r="D75" i="3"/>
  <c r="H75" i="3" s="1"/>
  <c r="K75" i="3" s="1"/>
  <c r="D69" i="3"/>
  <c r="H69" i="3" s="1"/>
  <c r="K69" i="3" s="1"/>
  <c r="D54" i="3"/>
  <c r="H54" i="3" s="1"/>
  <c r="K54" i="3" s="1"/>
  <c r="D52" i="3"/>
  <c r="H52" i="3" s="1"/>
  <c r="K52" i="3" s="1"/>
  <c r="D50" i="3"/>
  <c r="H50" i="3" s="1"/>
  <c r="K50" i="3" s="1"/>
  <c r="D49" i="3"/>
  <c r="H49" i="3" s="1"/>
  <c r="K49" i="3" s="1"/>
  <c r="D46" i="3"/>
  <c r="H46" i="3" s="1"/>
  <c r="K46" i="3" s="1"/>
  <c r="D40" i="3"/>
  <c r="H40" i="3" s="1"/>
  <c r="K40" i="3" s="1"/>
  <c r="D39" i="3"/>
  <c r="H39" i="3" s="1"/>
  <c r="K39" i="3" s="1"/>
  <c r="D34" i="3"/>
  <c r="H34" i="3" s="1"/>
  <c r="K34" i="3" s="1"/>
  <c r="D31" i="3"/>
  <c r="H31" i="3" s="1"/>
  <c r="K31" i="3" s="1"/>
  <c r="D29" i="3"/>
  <c r="H29" i="3" s="1"/>
  <c r="K29" i="3" s="1"/>
  <c r="D27" i="3"/>
  <c r="H27" i="3" s="1"/>
  <c r="K27" i="3" s="1"/>
  <c r="D26" i="3"/>
  <c r="H26" i="3" s="1"/>
  <c r="K26" i="3" s="1"/>
  <c r="D22" i="3"/>
  <c r="H22" i="3" s="1"/>
  <c r="K22" i="3" s="1"/>
  <c r="D18" i="3"/>
  <c r="D10" i="3"/>
  <c r="H10" i="3" s="1"/>
  <c r="K10" i="3" s="1"/>
  <c r="D9" i="3"/>
  <c r="C100" i="3"/>
  <c r="I79" i="4" l="1"/>
  <c r="D100" i="3"/>
  <c r="H9" i="3"/>
  <c r="K9" i="3" s="1"/>
  <c r="H18" i="3"/>
  <c r="K18" i="3" s="1"/>
  <c r="H32" i="2"/>
  <c r="H100" i="3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8" i="2"/>
  <c r="I9" i="2"/>
  <c r="O9" i="2" s="1"/>
  <c r="I10" i="2"/>
  <c r="O10" i="2" s="1"/>
  <c r="I13" i="2"/>
  <c r="I14" i="2"/>
  <c r="I17" i="2"/>
  <c r="O17" i="2" s="1"/>
  <c r="I18" i="2"/>
  <c r="O18" i="2" s="1"/>
  <c r="I19" i="2"/>
  <c r="O19" i="2" s="1"/>
  <c r="I20" i="2"/>
  <c r="O20" i="2" s="1"/>
  <c r="I21" i="2"/>
  <c r="O21" i="2" s="1"/>
  <c r="I22" i="2"/>
  <c r="O22" i="2" s="1"/>
  <c r="I24" i="2"/>
  <c r="O24" i="2" s="1"/>
  <c r="I36" i="2"/>
  <c r="C37" i="2"/>
  <c r="D37" i="2"/>
  <c r="G37" i="2"/>
  <c r="H37" i="2"/>
  <c r="J37" i="2"/>
  <c r="K37" i="2"/>
  <c r="L37" i="2"/>
  <c r="M37" i="2"/>
  <c r="B37" i="2"/>
  <c r="O14" i="2" l="1"/>
  <c r="O36" i="2"/>
  <c r="N37" i="2"/>
  <c r="O13" i="2"/>
  <c r="F35" i="2"/>
  <c r="I35" i="2" s="1"/>
  <c r="O35" i="2" s="1"/>
  <c r="F34" i="2"/>
  <c r="I34" i="2" s="1"/>
  <c r="O34" i="2" s="1"/>
  <c r="F33" i="2"/>
  <c r="I33" i="2" s="1"/>
  <c r="O33" i="2" s="1"/>
  <c r="F32" i="2"/>
  <c r="I32" i="2" s="1"/>
  <c r="O32" i="2" s="1"/>
  <c r="F31" i="2"/>
  <c r="I31" i="2" s="1"/>
  <c r="O31" i="2" s="1"/>
  <c r="F30" i="2"/>
  <c r="I30" i="2" s="1"/>
  <c r="O30" i="2" s="1"/>
  <c r="F29" i="2"/>
  <c r="I29" i="2" s="1"/>
  <c r="O29" i="2" s="1"/>
  <c r="F28" i="2"/>
  <c r="I28" i="2" s="1"/>
  <c r="O28" i="2" s="1"/>
  <c r="F27" i="2"/>
  <c r="I27" i="2" s="1"/>
  <c r="O27" i="2" s="1"/>
  <c r="F26" i="2"/>
  <c r="I26" i="2" s="1"/>
  <c r="O26" i="2" s="1"/>
  <c r="F25" i="2"/>
  <c r="I25" i="2" s="1"/>
  <c r="O25" i="2" s="1"/>
  <c r="F16" i="2"/>
  <c r="F15" i="2"/>
  <c r="I15" i="2" s="1"/>
  <c r="O15" i="2" s="1"/>
  <c r="F12" i="2"/>
  <c r="I12" i="2" s="1"/>
  <c r="O12" i="2" s="1"/>
  <c r="F11" i="2"/>
  <c r="I11" i="2" s="1"/>
  <c r="O11" i="2" s="1"/>
  <c r="F8" i="2"/>
  <c r="E16" i="2"/>
  <c r="E37" i="2" l="1"/>
  <c r="I16" i="2"/>
  <c r="O16" i="2" s="1"/>
  <c r="I8" i="2"/>
  <c r="F37" i="2"/>
  <c r="G32" i="1"/>
  <c r="G22" i="1"/>
  <c r="G33" i="1" l="1"/>
  <c r="O8" i="2"/>
  <c r="O37" i="2" s="1"/>
  <c r="I37" i="2"/>
  <c r="G16" i="1"/>
  <c r="H8" i="1" l="1"/>
  <c r="H9" i="1"/>
  <c r="H10" i="1"/>
  <c r="H12" i="1"/>
  <c r="H13" i="1"/>
  <c r="H14" i="1"/>
  <c r="H7" i="1"/>
  <c r="F11" i="1"/>
  <c r="F16" i="1" s="1"/>
  <c r="E11" i="1"/>
  <c r="E16" i="1" s="1"/>
  <c r="H11" i="1" l="1"/>
  <c r="H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thanyapatt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thanyapatt:</t>
        </r>
        <r>
          <rPr>
            <sz val="9"/>
            <color indexed="81"/>
            <rFont val="Tahoma"/>
            <family val="2"/>
          </rPr>
          <t xml:space="preserve">
คชจ.อื่น+เบิกแทน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thanyapatt</author>
  </authors>
  <commentList>
    <comment ref="H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thanyapatt:</t>
        </r>
        <r>
          <rPr>
            <sz val="9"/>
            <color indexed="81"/>
            <rFont val="Tahoma"/>
            <family val="2"/>
          </rPr>
          <t xml:space="preserve">
คชจ.อื่น+เบิกแทน</t>
        </r>
      </text>
    </comment>
  </commentList>
</comments>
</file>

<file path=xl/sharedStrings.xml><?xml version="1.0" encoding="utf-8"?>
<sst xmlns="http://schemas.openxmlformats.org/spreadsheetml/2006/main" count="1452" uniqueCount="683">
  <si>
    <t>งบกลาง</t>
  </si>
  <si>
    <t>รวม</t>
  </si>
  <si>
    <t>5101</t>
  </si>
  <si>
    <t>5102</t>
  </si>
  <si>
    <t>5103</t>
  </si>
  <si>
    <t>5104</t>
  </si>
  <si>
    <t>5105</t>
  </si>
  <si>
    <t>5107</t>
  </si>
  <si>
    <t>หน่วยงาน สำนักงานคณะกรรมการป้องกันและปราบปรามยาเสพติด</t>
  </si>
  <si>
    <t>รายงานต้นทุนผลผลิต</t>
  </si>
  <si>
    <t>ประจำปีงบประมาณ 2561</t>
  </si>
  <si>
    <r>
      <rPr>
        <b/>
        <u/>
        <sz val="16"/>
        <color indexed="8"/>
        <rFont val="TH SarabunPSK"/>
        <family val="2"/>
      </rPr>
      <t xml:space="preserve">ตารางที่ </t>
    </r>
    <r>
      <rPr>
        <b/>
        <sz val="16"/>
        <color indexed="8"/>
        <rFont val="TH SarabunPSK"/>
        <family val="2"/>
      </rPr>
      <t>1 รายงานต้นทุนรวมของหน่วยงาน โดยแยกประเภทตามแหล่งของเงิน</t>
    </r>
  </si>
  <si>
    <t>ประเภทค่าใช้จ่าย</t>
  </si>
  <si>
    <t>1. ค่าใช้จ่ายบุคลากร</t>
  </si>
  <si>
    <t>2. ค่าใช้จ่ายด้านการฝึกอบรม</t>
  </si>
  <si>
    <t>3. ค่าใช้จ่ายเดินทาง</t>
  </si>
  <si>
    <t>4. ค่าตอบแทน ใช้สอย วัสดุและค่าสาธารณูปโภค</t>
  </si>
  <si>
    <t>5. ค่าเสื่อมราคาและค่าตัดจำหน่าย</t>
  </si>
  <si>
    <t>6. ค่าใช้จ่ายดำเนินงานรักษาความมั่นคงของประเทศ</t>
  </si>
  <si>
    <t>7. ค่าใช้จ่ายเงินอุดหนุน</t>
  </si>
  <si>
    <t>8. ต้นทุนในการผลิตผลผลิตอื่น</t>
  </si>
  <si>
    <t>รวมต้นทุนผลผลิต</t>
  </si>
  <si>
    <t>ค่าใช้จ่ายเบิกแทนส่วนราชการอื่น</t>
  </si>
  <si>
    <t>หมายเหตุ :</t>
  </si>
  <si>
    <t>ค่าใช้จ่ายในระบบ GFMIS</t>
  </si>
  <si>
    <r>
      <rPr>
        <b/>
        <u val="singleAccounting"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ต้นทุนที่เกี่ยวข้องในการผลิตผลผลิต</t>
    </r>
  </si>
  <si>
    <r>
      <rPr>
        <u val="singleAccounting"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ต้นทุนที่ไม่เกี่ยวข้องในการผลิตผลผลิต</t>
    </r>
  </si>
  <si>
    <t>ค่าใช้จ่ายบำเหน็จบำนาญ</t>
  </si>
  <si>
    <t>เงินช่วยการศึกษาบุตร</t>
  </si>
  <si>
    <t>ค่ารักษาพยาบาล-เบี้ยหวัด/บำนาญ</t>
  </si>
  <si>
    <t>พักเบิกเงินอุดหนุน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</si>
  <si>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</si>
  <si>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</si>
  <si>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</si>
  <si>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TE-รายได้รอนำส่งคลัง</t>
  </si>
  <si>
    <t>TE-ปรับเงินฝากคลัง</t>
  </si>
  <si>
    <t>ศูนย์ต้นทุน</t>
  </si>
  <si>
    <t>อ5101</t>
  </si>
  <si>
    <t>อ5104</t>
  </si>
  <si>
    <t>อ5105</t>
  </si>
  <si>
    <t>ศูนย์ต้นทุนหลัก</t>
  </si>
  <si>
    <t>1. ปปส.ภาค 1</t>
  </si>
  <si>
    <t>2. ปปส.ภาค 2</t>
  </si>
  <si>
    <t>3. ปปส.ภาค 3</t>
  </si>
  <si>
    <t>4. ปปส.ภาค 4</t>
  </si>
  <si>
    <t>5. ปปส.ภาค 5</t>
  </si>
  <si>
    <t>6. ปปส.ภาค 6</t>
  </si>
  <si>
    <t>7. ปปส.ภาค 7</t>
  </si>
  <si>
    <t>8. ปปส.ภาค 8</t>
  </si>
  <si>
    <t>9. ปปส.ภาค 9</t>
  </si>
  <si>
    <t>10. ปปส.กทม.</t>
  </si>
  <si>
    <t>11. อทป.จีน</t>
  </si>
  <si>
    <t>12. อทป.เมียนมา</t>
  </si>
  <si>
    <t>13. อทป.ลาว</t>
  </si>
  <si>
    <t>14. อทป.เวียดนาม</t>
  </si>
  <si>
    <t>15. อทป.กัมพูชา</t>
  </si>
  <si>
    <t>ศูนย์ต้นทุนสนับสนุน</t>
  </si>
  <si>
    <t>1. กลุ่มตรวจสอบภายใน</t>
  </si>
  <si>
    <t>2. สำนักงานเลขานุการกรม</t>
  </si>
  <si>
    <t>3. สำนักยุทธศาสตร์</t>
  </si>
  <si>
    <t>4. สำนักพัฒนาบุคลากรด้านการป้องกันและปราบปรามยาเสพติด</t>
  </si>
  <si>
    <t>5. ศูนย์เทคโนโลยีสารสนเทศ</t>
  </si>
  <si>
    <t>6. สำนักปราบปรามยาเสพติด</t>
  </si>
  <si>
    <t>7. สำนักตรวจสอบทรัพย์สิน</t>
  </si>
  <si>
    <t>8. กองกฎหมาย</t>
  </si>
  <si>
    <t>9. สำนักพัฒนาการป้องกันและแก้ไขปัญหายาเสพติด</t>
  </si>
  <si>
    <t>10. สำนักการต่างประเทศ</t>
  </si>
  <si>
    <t>11. กลุ่มพัฒนาระบบบริหาร</t>
  </si>
  <si>
    <t>12. สถาบันวิชาการและตรวจพิสูจน์ยาเสพติด</t>
  </si>
  <si>
    <t>13. สถาบันสำรวจและติดตามการปลูกพืชเสพติด</t>
  </si>
  <si>
    <t>ค่าใช้จ่ายทางตรง</t>
  </si>
  <si>
    <t>ค่าใช้จ่ายทางอ้อม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</si>
  <si>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</si>
  <si>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</si>
  <si>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</si>
  <si>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ค่าตอบแทน ใช้สอย วัสดุและค่าสาธารณูปโภค</t>
  </si>
  <si>
    <t>ค่าเสื่อมราคาและค่าตัดจำหน่าย</t>
  </si>
  <si>
    <t>ค่าใช้จ่ายเงินอุดหนุน</t>
  </si>
  <si>
    <t>ค่าใช้จ่ายอื่น</t>
  </si>
  <si>
    <t>อ5107</t>
  </si>
  <si>
    <t>5106+5212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</si>
  <si>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</si>
  <si>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</si>
  <si>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</si>
  <si>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</si>
  <si>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</si>
  <si>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</si>
  <si>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</si>
  <si>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</si>
  <si>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</si>
  <si>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</si>
  <si>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</si>
  <si>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</si>
  <si>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</si>
  <si>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</si>
  <si>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</si>
  <si>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</si>
  <si>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</si>
  <si>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120</t>
  </si>
  <si>
    <t>124</t>
  </si>
  <si>
    <t>125</t>
  </si>
  <si>
    <t>126</t>
  </si>
  <si>
    <t>127</t>
  </si>
  <si>
    <t>128</t>
  </si>
  <si>
    <t>129</t>
  </si>
  <si>
    <t>130</t>
  </si>
  <si>
    <t>131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</si>
  <si>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</si>
  <si>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</si>
  <si>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</si>
  <si>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</si>
  <si>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</si>
  <si>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</si>
  <si>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</si>
  <si>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</si>
  <si>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</si>
  <si>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</si>
  <si>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</si>
  <si>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</si>
  <si>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</si>
  <si>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</si>
  <si>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</si>
  <si>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150</t>
  </si>
  <si>
    <t>151</t>
  </si>
  <si>
    <t>152</t>
  </si>
  <si>
    <t>153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</si>
  <si>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</si>
  <si>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</si>
  <si>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</si>
  <si>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</si>
  <si>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</si>
  <si>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</si>
  <si>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</si>
  <si>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</si>
  <si>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</si>
  <si>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</si>
  <si>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</si>
  <si>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</si>
  <si>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</si>
  <si>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</si>
  <si>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</si>
  <si>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</si>
  <si>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</si>
  <si>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</si>
  <si>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</si>
  <si>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</si>
  <si>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</si>
  <si>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</si>
  <si>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</si>
  <si>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</si>
  <si>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</si>
  <si>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</si>
  <si>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</si>
  <si>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</si>
  <si>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</si>
  <si>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</si>
  <si>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</si>
  <si>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</si>
  <si>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</si>
  <si>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</si>
  <si>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</si>
  <si>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</si>
  <si>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</si>
  <si>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</si>
  <si>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</si>
  <si>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</si>
  <si>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</si>
  <si>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</si>
  <si>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</si>
  <si>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201</t>
  </si>
  <si>
    <t>202</t>
  </si>
  <si>
    <t>203</t>
  </si>
  <si>
    <t>204</t>
  </si>
  <si>
    <t>205</t>
  </si>
  <si>
    <t>กิจกรรมย่อย</t>
  </si>
  <si>
    <t>เงินในงบประมาณ</t>
  </si>
  <si>
    <t>เงินนอกงบประมาณ</t>
  </si>
  <si>
    <t>ค่าเสื่อมราคา</t>
  </si>
  <si>
    <t>ต้นทุนรวม</t>
  </si>
  <si>
    <t>รหัสกิจกรรมย่อย</t>
  </si>
  <si>
    <t>เบิกแทน</t>
  </si>
  <si>
    <t>ปริมาณ</t>
  </si>
  <si>
    <t>หน่วยนับ</t>
  </si>
  <si>
    <t>ต้นทุนต่อหน่วย</t>
  </si>
  <si>
    <r>
      <rPr>
        <b/>
        <u/>
        <sz val="16"/>
        <color indexed="8"/>
        <rFont val="TH SarabunPSK"/>
        <family val="2"/>
      </rPr>
      <t>ตารางที่ 3</t>
    </r>
    <r>
      <rPr>
        <b/>
        <sz val="16"/>
        <color indexed="8"/>
        <rFont val="TH SarabunPSK"/>
        <family val="2"/>
      </rPr>
      <t xml:space="preserve"> รายงานต้นทุนกิจกรรมย่อยแยกตามแหล่งเงิน</t>
    </r>
  </si>
  <si>
    <t>กิจกรรมย่อยของหน่วยงานหลัก</t>
  </si>
  <si>
    <t>โครงการประสานงานเพื่อถ่ายโอนภารกิจการสร้างภูมิคุ้มกันในเด็กปฐมวัย</t>
  </si>
  <si>
    <t>โครงการสื่อการเรียนรู้สำหรับเด็กปฐมวัย</t>
  </si>
  <si>
    <t>โครงการพัฒนาครูผู้สอนและครูผู้ดูแลเด็กปฐมวัย</t>
  </si>
  <si>
    <t>โครงการอำนวยการ ขับเคลื่อน การสร้างภูมิคุ้มกันเด็กและเยาวชนในสถานศึกษา</t>
  </si>
  <si>
    <t>โครงการอำนวยการ ขับเคลื่อน การสร้างภูมิคุ้มกันเด็กและเยาวชนนอกสถานศึกษา</t>
  </si>
  <si>
    <t>โครงการสร้างรูปธรรมในการสร้างภูมิคุ้มกันเด็กและเยาวชนนอกสถานศึกษา</t>
  </si>
  <si>
    <t>โครงการอำนวยการ ขับเคลื่อน การป้องกันและแก้ไขปัญหายาเสพติดในกลุ่มผู้ใช้แรงงานและสถานประกอบการ</t>
  </si>
  <si>
    <t>โครงการสร้างภูมิคุ้มกันในกลุ่มประชาชนทั่วไป</t>
  </si>
  <si>
    <t>โครงการขยายหมู่บ้านกองทุนแม่ของแผ่นดิน</t>
  </si>
  <si>
    <t>โครงการเสริมสร้างเครือข่ายหมู่บ้านกองทุนแม่ของแผ่นดิน</t>
  </si>
  <si>
    <t>โครงการพัฒนาทางเลือก</t>
  </si>
  <si>
    <t>โครงการอำนวยการ ขับเคลื่อน การบำบัดรักษาผู้เสพผู้ติดยาเสพติด</t>
  </si>
  <si>
    <t>โครงการบำบัดรักษาผู้เสพ/ผู้ติดยาเสพติด</t>
  </si>
  <si>
    <t>โครงการสกัดกั้นยาเสพติดตามแนวชายแดน</t>
  </si>
  <si>
    <t>โครงการปราบปรามนักค้ายาเสพติดรายสำคัญและเครือข่าย</t>
  </si>
  <si>
    <t>โครงการปราบปรามนักค้ายาเสพติดในพื้นที่หมู่บ้าน/ชุมชน</t>
  </si>
  <si>
    <t>โครงการดำเนินการต่อข้อร้องเรียนของประชาชน (สายด่วน ป.ป.ส. 1386)</t>
  </si>
  <si>
    <t>โครงการปราบปรามยาเสพติดในเรือนจำ</t>
  </si>
  <si>
    <t>โครงการอำนวยการ ด้านการข่าวและเทคโนโลยีสืบสวน</t>
  </si>
  <si>
    <t>โครงการพัฒนาระบบการตรวจสอบทรัพย์สินคดียาเสพติด</t>
  </si>
  <si>
    <t>โครงการแผนแม่บทการแก้ไขปัญหาฝิ่นและความมั่นคง อำเภออมก๋อย จังหวัดเชียงใหม่</t>
  </si>
  <si>
    <t>โครงการความร่วมมือในกรอบอาเซียนและอาเซียน-นาโคร์ (ภายในประเทศ)</t>
  </si>
  <si>
    <t>โครงการความร่วมมือในกรอบอาเซียนและอาเซียน-นาโคร์ (ภายนอกประเทศ)</t>
  </si>
  <si>
    <t>โครงการพัฒนานโยบายและยุทธศาสตร์</t>
  </si>
  <si>
    <t>โครงการพัฒนาและขับเคลื่อนโครงสร้างและกลไกการบริหารจัดการยาเสพติด</t>
  </si>
  <si>
    <t>โครงการพัฒนาบุคลากรด้านยาเสพติด</t>
  </si>
  <si>
    <t>โครงการพัฒนางานวิจัย วิชาการ และองค์ความรู้ด้านยาเสพติด</t>
  </si>
  <si>
    <t>การเงินและบัญชี</t>
  </si>
  <si>
    <t>การบริหารบุคลากร</t>
  </si>
  <si>
    <t>การตรวจสอบภายใน</t>
  </si>
  <si>
    <t>การพัฒนาระบบบริหารราชการ</t>
  </si>
  <si>
    <t>งานสารบรรณ</t>
  </si>
  <si>
    <t>งานยานพาหนะ</t>
  </si>
  <si>
    <t>งานอาคารและสถานที่</t>
  </si>
  <si>
    <t>งานวินัยและความรับผิดชอบทางละเมิด</t>
  </si>
  <si>
    <t>กิจกรรมย่อยของหน่วยงานสนับสนุน</t>
  </si>
  <si>
    <t>ครั้ง</t>
  </si>
  <si>
    <t>เรื่อง</t>
  </si>
  <si>
    <t>คน</t>
  </si>
  <si>
    <t>แห่ง</t>
  </si>
  <si>
    <t>คดี/ราย</t>
  </si>
  <si>
    <t>ฉบับ</t>
  </si>
  <si>
    <t>รายการ</t>
  </si>
  <si>
    <t>ระบบ</t>
  </si>
  <si>
    <t>ด้าน</t>
  </si>
  <si>
    <t>กิโลเมตร</t>
  </si>
  <si>
    <t>การควบคุมพืชเสพติด</t>
  </si>
  <si>
    <t>การติดตาม/ช่วยเหลือผู้ผ่านกระบวนการบำบัดรักษา</t>
  </si>
  <si>
    <t>การบริหารจัดการทั่วไป</t>
  </si>
  <si>
    <t>การประสานความร่วมมือระหว่างประเทศ</t>
  </si>
  <si>
    <t>การปราบปรามยาเสพติด</t>
  </si>
  <si>
    <t>สร้างภูมิคุ้มกันเด็กและเยาวชนนอกสถานศึกษา</t>
  </si>
  <si>
    <t>ผลผลิตย่อย</t>
  </si>
  <si>
    <r>
      <rPr>
        <b/>
        <u/>
        <sz val="16"/>
        <color indexed="8"/>
        <rFont val="TH SarabunPSK"/>
        <family val="2"/>
      </rPr>
      <t>ตารางที่ 4</t>
    </r>
    <r>
      <rPr>
        <b/>
        <sz val="16"/>
        <color indexed="8"/>
        <rFont val="TH SarabunPSK"/>
        <family val="2"/>
      </rPr>
      <t xml:space="preserve"> รายงานต้นทุนผลผลิตย่อยแยกตามแหล่งเงิน</t>
    </r>
  </si>
  <si>
    <t>(หน่วย : บาท)</t>
  </si>
  <si>
    <t>การสร้างภูมิคุ้มกันในเด็กปฐมวัย</t>
  </si>
  <si>
    <t>การสร้างภูมิคุ้มกันเด็กและเยาวชนในสถานศึกษา</t>
  </si>
  <si>
    <t>การสร้างภูมิคุ้มกันในกลุ่มแรงงานและสถานประกอบการ</t>
  </si>
  <si>
    <t>การสร้างภูมิคุ้มกันในกลุ่มประชาชน</t>
  </si>
  <si>
    <t>กิจกรรมหลัก</t>
  </si>
  <si>
    <t xml:space="preserve">ปริมาณ </t>
  </si>
  <si>
    <t>4. การปราบปรามการค้ายาเสพติด</t>
  </si>
  <si>
    <t>1. การสร้างภูมิคุ้มกันและป้องกันยาเสพติด</t>
  </si>
  <si>
    <t>2. การสร้างสภาพแวดล้อมและการมีส่วนร่วมป้องกันยาเสพติด</t>
  </si>
  <si>
    <t>3. การประสานความร่วมมือระหว่างประเทศ</t>
  </si>
  <si>
    <t>5. การบำบัดรักษาผู้เสพ ผู้ติดยาเสพติด</t>
  </si>
  <si>
    <t>6. การติดตาม ดูแล ช่วยเหลือผู้ผ่านการบำบัดยาเสพติด</t>
  </si>
  <si>
    <t>7. บุคลากรภาครัฐด้านการป้องกันและแก้ไขปัญหายาเสพติด</t>
  </si>
  <si>
    <t>8. การบริหารจัดการอย่างบูรณาการ</t>
  </si>
  <si>
    <r>
      <t>ตารางที่ 6</t>
    </r>
    <r>
      <rPr>
        <b/>
        <sz val="16"/>
        <rFont val="TH SarabunPSK"/>
        <family val="2"/>
      </rPr>
      <t xml:space="preserve">  รายงานต้นทุนผลผลิตหลักแยกตามแหล่งเงิน</t>
    </r>
  </si>
  <si>
    <t>ผลผลิตหลัก</t>
  </si>
  <si>
    <t>1. การป้องกันยาเสพติด</t>
  </si>
  <si>
    <t>2. การปราบปรามยาเสพติด</t>
  </si>
  <si>
    <t>3. การบำบัดรักษาผู้ติดยาเสพติด</t>
  </si>
  <si>
    <t>4. การบริหารจัดการอย่างบูรณาการ</t>
  </si>
  <si>
    <r>
      <t>ตารางที่ 7</t>
    </r>
    <r>
      <rPr>
        <b/>
        <sz val="16"/>
        <rFont val="TH SarabunPSK"/>
        <family val="2"/>
      </rPr>
      <t xml:space="preserve">  เปรียบเทียบผลการคำนวณต้นทุนกิจกรรมย่อยแยกตามแหล่งเงิน</t>
    </r>
  </si>
  <si>
    <t>ต้นทุนผลผลิตประจำปีงบประมาณ พ.ศ. 2560 (ต.ค. 59 - ก.ย. 60)</t>
  </si>
  <si>
    <t>ผลการเปรียบเทียบ</t>
  </si>
  <si>
    <t>เงินใน งปม.</t>
  </si>
  <si>
    <t>เงินนอก งปม.</t>
  </si>
  <si>
    <t>ต้นทุนรวม
เพิ่ม/(ลด) %</t>
  </si>
  <si>
    <t>หน่วยนับ
เพิ่ม/(ลด) %</t>
  </si>
  <si>
    <t>ต้นทุนต่อหน่วย
เพิ่ม/(ลด) %</t>
  </si>
  <si>
    <t>โครงการกองทุนแม่ของแผ่นดิน</t>
  </si>
  <si>
    <t>หมู่บ้าน/ชุมชน</t>
  </si>
  <si>
    <t>โครงการอำนวยการและสนับสนุนการสร้างภูมิคุ้มกันยาเสพติดในชุมชนและประชาชนทั่วไป</t>
  </si>
  <si>
    <t>หมู่บ้าน</t>
  </si>
  <si>
    <t>โครงการบำบัดรักษาผู้เสพยาเสพติด</t>
  </si>
  <si>
    <t>โครงการลดอันตรายจากการใช้ยาเสพติด (Harm Reduction)</t>
  </si>
  <si>
    <t>การพัฒนาวิทยากร Learning by Doing ค่ายมาตรฐานใหม่</t>
  </si>
  <si>
    <t>การประสานบำบัดในพื้นที่วิกฤติ</t>
  </si>
  <si>
    <t>โครงการรณรงค์และประชาสัมพันธ์ชักชวน ชักจูง ผู้เสพผู้ติดยาเสพติดเข้าสู่กระบวนการบำบัด</t>
  </si>
  <si>
    <t>การประชุมอนุกรรมการด้านบำบัดรักษาทุกระบบ</t>
  </si>
  <si>
    <t>โครงการอำนวยการขับเคลื่อนนโยบายการบำบัดรักษาตามแนวทางการถ่ายโอนภารกิจ</t>
  </si>
  <si>
    <t>โครงการขับเคลื่อนนโยบายการบำบัดรักษาตามแนวทางการถ่ายโอนภารกิจ</t>
  </si>
  <si>
    <t>โครงการจัดการองค์ความรู้ด้านการบำบัด (Best Practice)</t>
  </si>
  <si>
    <t>โครงการ</t>
  </si>
  <si>
    <t>โครงการติดตามผู้ผ่านการบำบัดรักษา</t>
  </si>
  <si>
    <t>โครงการให้การช่วยเหลือผู้ผ่านการบำบัดรักษา</t>
  </si>
  <si>
    <t>โครงการพัฒนาบุคลากรเพื่อการรองรับการติดตาม ช่วยเหลือ ผู้ผ่านการบำบัดรักษา</t>
  </si>
  <si>
    <t>โครงการพัฒนาแนวทางบำบัดรักษา</t>
  </si>
  <si>
    <t>โครงการอำนวยการและสนับสนุนการสร้างภูมิคุ้มกันยาเสพติดในสถานศึกษา</t>
  </si>
  <si>
    <t>โครงการถ่ายโอนภารกิจ และติดตามประเมินผลการสร้างภูมิคุ้มกันในเด็กปฐมวัย</t>
  </si>
  <si>
    <t>โครงการจิตสังคมบำบัดในโรงเรียน</t>
  </si>
  <si>
    <t>โครงการป้องกันและแก้ไขปัญหายาเสพติดในสถานประกอบการขนาดกลางและเล็ก</t>
  </si>
  <si>
    <t>โครงการป้องกันและแก้ไขปัญหายาเสพติดในสถานประกอบการขนาดใหญ่</t>
  </si>
  <si>
    <t>โครงการพัฒนาสื่อการเรียนรู้เพื่อสร้างภูมิคุ้มกันในเด็กปฐมวัย (EF)</t>
  </si>
  <si>
    <t>โครงการสนับสนุนการจัดทำกิจกรรมสร้างภูมิคุ้มกันยาเสพติดนอกสถานศึกษา</t>
  </si>
  <si>
    <t>โครงการอำนวยการและสนับสนุนการสร้างภูมิคุ้มกันยาเสพติดในเยาวชนนอกสถานศึกษา</t>
  </si>
  <si>
    <t>โครงการประชารัฐฯ</t>
  </si>
  <si>
    <t>โครงการสร้างการมีส่วนร่วมจากเครือข่ายภาคประชาชน</t>
  </si>
  <si>
    <t>โครงการปราบปรามยาเสพติดในระดับพื้นที่</t>
  </si>
  <si>
    <t>โครงการปราบปรามนักค้ายาเสพติดรายสำคัญ(รายสำคัญตาม 5 ข้อหาหลัก/เจ้าหน้าที่รัฐ/สมคบ/ฯ)</t>
  </si>
  <si>
    <t>โครงการอำนวยการและสนับสนุนชุดปฏิบัติการด้านการปราบปรามยาเสพติด (การสนับสนุนค่าตอบแทน)</t>
  </si>
  <si>
    <t>ชุดปฏิบัติการ</t>
  </si>
  <si>
    <t>โครงการสืบสวนการเงิน</t>
  </si>
  <si>
    <t>โครงการตรวจสอบทรัพย์สินคดียาเสพติด</t>
  </si>
  <si>
    <t>โครงการปราบปรามการค้ายาเสพติดในเรือนจำ</t>
  </si>
  <si>
    <t>โครงการดำเนินการต่อเจ้าหน้าที่รัฐที่เกี่ยวข้องกับยาเสพติดหรือปล่อยปละละเลย</t>
  </si>
  <si>
    <t>โครงการดำเนินการต่อข้อร้องเรียนยาเสพติด</t>
  </si>
  <si>
    <t>โครงการความร่วมมือยาเสพติดในกรอบอาเซียน</t>
  </si>
  <si>
    <t>โครงการดำเนินการผลักดันความร่วมมือกับประเทศเพื่อนบ้านในระดับนโยบาย</t>
  </si>
  <si>
    <t>โครงการพัฒนาทางเลือก (ภายนอกประเทศ)</t>
  </si>
  <si>
    <t>โครงการให้ความช่วยเหลือกับประเทศเพื่อนบ้านในการเสริมสร้างและยกระดับความร่วมมือในการยุติแหล่งผลิต</t>
  </si>
  <si>
    <t>โครงการอำนวยการแผนการสกัดกั้นยาเสพติด</t>
  </si>
  <si>
    <t>ประเทศ</t>
  </si>
  <si>
    <t>โครงการอำนวยการและบริหารจัดการด้านการข่าว</t>
  </si>
  <si>
    <t>โครงการสกัดกั้นยาเสพติดในพื้นที่ตอนใน (จุดตรวจ/จุดสกัด)</t>
  </si>
  <si>
    <t>โครงการติดตามและสนับสนุนการทำงานของ อทป.ปปส.</t>
  </si>
  <si>
    <t>โครงการแม่โขงปลอดภัย</t>
  </si>
  <si>
    <t>โครงการประสานปราบปรามยาเสพติดชายแดน (BLO)</t>
  </si>
  <si>
    <t>โครงการอำนวยการ และบริหารจัดการกลไกแก้ไขปัญหาพืชเสพติด</t>
  </si>
  <si>
    <t>โครงการควบคุมพืชเสพติด</t>
  </si>
  <si>
    <t>โครงการแผนแม่บทการแก้ไขปัญหาฝิ่น ยาเสพติด และความมั่นคง อำเภออมก๋อย จังหวัดเชียงใหม่</t>
  </si>
  <si>
    <t>โครงการกำกับ ติดตาม ประเมินผล ยุทธศาสตร์ และแผน และการดำเนินงาน</t>
  </si>
  <si>
    <t>โครงการพัฒนาการวิจัย วิชาการ และองค์ความรู้ด้านยาเสพติด</t>
  </si>
  <si>
    <t>โครงการประชาสัมพันธ์ด้านยาเสพติด</t>
  </si>
  <si>
    <t>โครงการพัฒนา จัดทำกฎหมาย และประสานการบังคับใช้กฎหมายยาเสพติด</t>
  </si>
  <si>
    <t>การอำนวยการสำหรับการปรับปรุงกฎหมายและระเบียบเพื่อการขับเคลื่อนภารกิจด้านยาเสพติด</t>
  </si>
  <si>
    <t>โครงการด้านการตรวจพิสูจน์สารตั้งต้นและเคมีภัณฑ์เบื้องต้น</t>
  </si>
  <si>
    <t>โครงการตรวจพิสูจน์สารเสพติดและนิติวิทยาศาสตร์</t>
  </si>
  <si>
    <t>ราย</t>
  </si>
  <si>
    <t>โครงการพัฒนาความร่วมมือและสร้างเครือข่ายความร่วมมือด้านการป้องกันยาเสพติด</t>
  </si>
  <si>
    <t>การพัฒนา/ปรับปรุงบำรุงรักษาระบบเครือข่าย (LAN/WAN)/website</t>
  </si>
  <si>
    <t>การพัสดุ</t>
  </si>
  <si>
    <t>เดือน</t>
  </si>
  <si>
    <t>ระบบเทคโนโลยีสารสนเทศภายในหน่วยงาน</t>
  </si>
  <si>
    <t>โครงการจัดทำและบูรณาการแผนและงบประมาณทุกระดับ</t>
  </si>
  <si>
    <t>โครงการพัฒนาระบบข้อมูลผู้เสพผู้ติด</t>
  </si>
  <si>
    <t>หน่วยงาน</t>
  </si>
  <si>
    <t>โครงการพัฒนาระบบข้อมูล และการเฝ้าระวังยาเสพติด</t>
  </si>
  <si>
    <t>โครงการพัฒนาเทคโนโลยีสารสนเทศรองรับระบบข้อมูลยาเสพติด</t>
  </si>
  <si>
    <t>งานช่วยอำนวยการ</t>
  </si>
  <si>
    <t>ต้นทุนผลผลิตประจำปีงบประมาณ พ.ศ. 2561 (ต.ค. 60 - ก.ย. 61)</t>
  </si>
  <si>
    <t>1.โครงการประสานงานเพื่อถ่ายโอนภารกิจการสร้างภูมิคุ้มกันในเด็กปฐมวัย</t>
  </si>
  <si>
    <t>2.โครงการสื่อการเรียนรู้สำหรับเด็กปฐมวัย</t>
  </si>
  <si>
    <t>3.โครงการพัฒนาครูผู้สอนและครูผู้ดูแลเด็กปฐมวัย</t>
  </si>
  <si>
    <t>4.โครงการติดตามและประเมินผลการสร้างภูมิคุ้มกันในเด็กปฐมวัย</t>
  </si>
  <si>
    <t>5.โครงการอำนวยการ ขับเคลื่อน การสร้างภูมิคุ้มกันเด็กและเยาวชนในสถานศึกษา</t>
  </si>
  <si>
    <t>6.โครงการขยายเครือข่ายการสร้างภูมิคุ้มกันเด็กและเยาวชนในสถานศึกษา</t>
  </si>
  <si>
    <t>7.โครงการอำนวยการ ขับเคลื่อน การสร้างภูมิคุ้มกันเด็กและเยาวชนนอกสถานศึกษา</t>
  </si>
  <si>
    <t>8.โครงการสร้างรูปธรรมในการสร้างภูมิคุ้มกันเด็กและเยาวชนนอกสถานศึกษา</t>
  </si>
  <si>
    <t>9.โครงการส่งเสริมและพัฒนาองค์กรและเครือข่ายเยาวชน</t>
  </si>
  <si>
    <t>10.โครงการอำนวยการ ขับเคลื่อน การป้องกันและแก้ไขปัญหายาเสพติดในกลุ่มผู้ใช้แรงงานและสถานประกอบการ</t>
  </si>
  <si>
    <t>11.โครงการขยายกลไกและเครือข่ายการป้องกันและแก้ไขปัญหายาเสพติดในกลุ่มผู้ใช้แรงงานและสถานประกอบการ</t>
  </si>
  <si>
    <t>12.โครงการสร้างการรับรู้การใช้ยาในทางที่ผิด</t>
  </si>
  <si>
    <t xml:space="preserve">13.โครงการป้องกันยาเสพติดในพระสงฆ์ </t>
  </si>
  <si>
    <t>14.โครงการสร้างภูมิคุ้มกันในกลุ่มประชาชนทั่วไป</t>
  </si>
  <si>
    <t>15.โครงการอำนวยการ ขับเคลื่อน การป้องกันและแก้ไขปัญหายาเสพติดในหมู่บ้าน/ชุมชน</t>
  </si>
  <si>
    <t>16.โครงการเครือข่ายสภาเกษตรกรฯ</t>
  </si>
  <si>
    <t>17.โครงการขยายหมู่บ้านกองทุนแม่ของแผ่นดิน</t>
  </si>
  <si>
    <t>18.โครงการเสริมสร้างเครือข่ายหมู่บ้านกองทุนแม่ของแผ่นดิน</t>
  </si>
  <si>
    <t>19.โครงการพัฒนาทางเลือก</t>
  </si>
  <si>
    <t>20.โครงการรณรงค์ประชาสัมพันธ์ชักชวนผู้เสพเข้าสู่กระบวนการบำบัดรักษา</t>
  </si>
  <si>
    <t>21.โครงการพัฒนารูปแบบการค้นหาผู้เสพเข้าสู่กระบวนการบำบัดรักษา</t>
  </si>
  <si>
    <t>22.โครงการจำแนกคัดกรองผู้เสพ/ผู้ติดยาเสพติด</t>
  </si>
  <si>
    <t>23.โครงการอำนวยการ ขับเคลื่อน การบำบัดรักษาผู้เสพผู้ติดยาเสพติด</t>
  </si>
  <si>
    <t>24.โครงการพัฒนากระบวนการบำบัดรักษาผู้เสพผู้ติด    ยาเสพติด</t>
  </si>
  <si>
    <t>25.โครงการบำบัดรักษาผู้เสพ/ผู้ติดยาเสพติด</t>
  </si>
  <si>
    <t>26.โครงการลดอันตรายจากการใช้ยาเสพติด (HARM REDUCTION)</t>
  </si>
  <si>
    <t>27.โครงการมาตราการเบี่ยงเบนคดีออกจากกระบวนการยุติธรรม (DIVERSION)</t>
  </si>
  <si>
    <t>28.โครงการพัฒนากระบวนการติดตามช่วยเหลือผู้ผ่านการบำบัดรักษา</t>
  </si>
  <si>
    <t>29.โครงการพัฒนาระบบข้อมูลด้านการบำบัดรักษาผู้เสพ/ผู้ติดยาเสพติด</t>
  </si>
  <si>
    <t>30.โครงการสกัดกั้นยาเสพติดตามแนวชายแดน</t>
  </si>
  <si>
    <t>31.โครงการสกัดกั้นยาเสพติดพื้นที่คมนาคมตอนใน</t>
  </si>
  <si>
    <t>32.โครงการสกัดกั้นยาเสพติดทางท่าอากาศยาน ท่าเรือ ระบบขนส่งสินค้าและพัสดุภัณฑ์</t>
  </si>
  <si>
    <t>33.โครงการอำนวยการแผนสกัดกั้นยาเสพติด</t>
  </si>
  <si>
    <t>34.โครงการพัฒนาระบบการสกัดกั้นยาเสพติด</t>
  </si>
  <si>
    <t>35.โครงการปราบปรามนักค้ายาเสพติดรายสำคัญและเครือข่าย</t>
  </si>
  <si>
    <t>36.โครงการปราบปรามนักค้ายาเสพติดในพื้นที่หมู่บ้าน/ชุมชน</t>
  </si>
  <si>
    <t>37.โครงการดำเนินการต่อข้อร้องเรียนของประชาชน (สายด่วน ป.ป.ส. 1386)</t>
  </si>
  <si>
    <t>38.โครงการปราบปรามยาเสพติดในเรือนจำ</t>
  </si>
  <si>
    <t>39.โครงการดำเนินการต่อเจ้าหน้าที่ที่เกี่ยวข้องกับยาเสพติด</t>
  </si>
  <si>
    <t>40.โครงการควบคุมสารตั้งต้นและเคมีภัณฑ์</t>
  </si>
  <si>
    <t>41.โครงการอำนวยการ ด้านการข่าวและเทคโนโลยีสืบสวน</t>
  </si>
  <si>
    <t>42.โครงการอำนวยการด้านการปราบปรามยาเสพติด</t>
  </si>
  <si>
    <t>43.โครงการประชุมคณะอนุกรรมการตรวจสอบทรัพย์สินและอนุกรรมการกองทุนฯ</t>
  </si>
  <si>
    <t>44.โครงการพัฒนาระบบการตรวจสอบทรัพย์สินคดียาเสพติด</t>
  </si>
  <si>
    <t>45.โครงการอำนวยการบริหารทรัพย์สินคดียาเสพติด</t>
  </si>
  <si>
    <t>46.โครงการเตรียมการสนับสนุนเครื่องมือและอำนวยการในการตรวจพิสูจน์หาสารเสพติด</t>
  </si>
  <si>
    <t>47.โครงการปรับปรุงกฏหมายพืชเสพติด</t>
  </si>
  <si>
    <t>48.โครงการสำรวจข้อมูลและพื้นที่ปลูกพืชเสพติด</t>
  </si>
  <si>
    <t>49.โครงการศึกษา/วิจัยงานวิชาการพืชเสพติด</t>
  </si>
  <si>
    <t>50.โครงการแผนแม่บทการแก้ไขปัญหาฝิ่นและความมั่นคง อำเภออมก๋อย จังหวัดเชียงใหม่</t>
  </si>
  <si>
    <t>51.โครงการขยายผลโครงการหลวงและพื้นที่ต่อเนื่อง</t>
  </si>
  <si>
    <t>52.โครงการการประสานความร่วมมือระหว่างประเทศ</t>
  </si>
  <si>
    <t>53.โครงการสนับสนุนอัครราชทูตที่ปรึกษาด้านควบคุมยาเสพติด</t>
  </si>
  <si>
    <t>54.โครงการความร่วมมือในกรอบอาเซียนและอาเซียน-นาโคร์ (ภายในประเทศ)</t>
  </si>
  <si>
    <t>55.โครงการความร่วมมือในกรอบอาเซียนและอาเซียน-นาโคร์ (ภายนอกประเทศ)</t>
  </si>
  <si>
    <t>56.โครงการให้ความช่วยเหลือส่งเสริมศักยภาพประเทศเพื่อนบ้านควบคุมยาเสพติด</t>
  </si>
  <si>
    <t>57.โครงการพัฒนาทางเลือกพื้นที่สามเหลี่ยมทองคำและลุ่มแม่น้ำโขง</t>
  </si>
  <si>
    <t>58.โครงการอำนวยการแผนสกัดกั้นยาเสพติดพื้นที่สามเหลี่ยมทองคำและลุ่มแม่น้ำโขง</t>
  </si>
  <si>
    <t>59.โครงการปราบปรามนักค้ายาเสพติดรายสำคัญและเครือข่ายพื้นที่สามเหลี่ยมทองคำและลุ่มน้ำแม่โขง</t>
  </si>
  <si>
    <t>60.โครงการควบคุมสารตั้งต้นและเคมีภัณฑ์พื้นที่สามเหลี่ยมทองคำและลุ่มน้ำแม่โขง</t>
  </si>
  <si>
    <t>61.โครงการอำนวยการ ด้านการข่าวและเทคโนโลยีสืบสวนพื้นที่สามเหลี่ยมทองคำและลุ่มแม่น้ำโขง</t>
  </si>
  <si>
    <t>62.โครงการพัฒนานโยบายและยุทธศาสตร์</t>
  </si>
  <si>
    <t>63.โครงการพัฒนาและขับเคลื่อนโครงสร้างและกลไกการบริหารจัดการยาเสพติด</t>
  </si>
  <si>
    <t>64.โครงการบูรณาการแผนและงบประมาณทุกระดับ</t>
  </si>
  <si>
    <t>65.โครงการกำกับ ติดตาม ประเมินผลการดำเนินงาน</t>
  </si>
  <si>
    <t>66.โครงการพัฒนาระบบข้อมูลและการเฝ้าระวังยาเสพติด</t>
  </si>
  <si>
    <t>67.โครงการพัฒนาเทคโนโลยีสารสนเทศรองรับระบบข้อมูล ยาเสพติด</t>
  </si>
  <si>
    <t>68.โครงการพัฒนาระบบข้อมูลยาเสพติดจังหวัด</t>
  </si>
  <si>
    <t>69.โครงการพัฒนาบุคลากรด้านยาเสพติด</t>
  </si>
  <si>
    <t>70.โครงการอำนวยการ ขับเคลื่อน ประมวลกฏหมายยาเสพติด</t>
  </si>
  <si>
    <t>71.โครงการพัฒนางานวิจัย วิชาการ และองค์ความรู้ด้านยาเสพติด</t>
  </si>
  <si>
    <t>72.โครงการรณรงค์และสร้างการรับรู้ของประชาชนเกี่ยวกับยาเสพติด</t>
  </si>
  <si>
    <t xml:space="preserve">73.ค่าตอบแทนผู้เชี่ยวชาญ/ที่ปรึกษา </t>
  </si>
  <si>
    <t>74.ค่าเช่าบ้าน</t>
  </si>
  <si>
    <t>75.ค่าล่วงเวลา</t>
  </si>
  <si>
    <t>76.ค่าเดินทางไปปฏิบัติราชการ</t>
  </si>
  <si>
    <t>77.ค่าจ้างเหมาบริการ</t>
  </si>
  <si>
    <t>78.ค่าวัสดุ</t>
  </si>
  <si>
    <t>79.การประชุมภายในกอง/สำนัก และภารกิจที่ได้รับมอบหมาย</t>
  </si>
  <si>
    <t>80.ค่าสาธารณูปโภค (งบดำเนินงาน)</t>
  </si>
  <si>
    <t>81.ค่าสาธารณูปโภค (งบรายจ่ายอื่นด้านป้องกันฯ)</t>
  </si>
  <si>
    <t>82.ค่าสาธารณูปโภค (งบรายจ่ายอื่นด้านปราบปรามฯ)</t>
  </si>
  <si>
    <t>83.ค่าเบี้ยประชุมคณะกรรมการ</t>
  </si>
  <si>
    <t>84.การเงินและบัญชี</t>
  </si>
  <si>
    <t>85.การพัสดุ (จัดซื้อจัดจ้าง)</t>
  </si>
  <si>
    <t>86.การบริหารบุคลากร</t>
  </si>
  <si>
    <t>87.การตรวจสอบภายใน</t>
  </si>
  <si>
    <t>88.เทคโนโลยีสารสนเทศภายในหน่วยงาน</t>
  </si>
  <si>
    <t>89.การพัฒนา/ปรับปรุงบำรุงรักษาระบบเครือข่าย (LAN/WAN)/Website</t>
  </si>
  <si>
    <t>90.การพัฒนาระบบบริหารราชการ</t>
  </si>
  <si>
    <t>91.งานสารบรรณ</t>
  </si>
  <si>
    <t>92.งานยานพาหนะ</t>
  </si>
  <si>
    <t>93.งานอาคารและสถานที่</t>
  </si>
  <si>
    <t>94.งานวินัยและความรับผิดชอบทางละเมิด</t>
  </si>
  <si>
    <t>เทคโนโลยีสารสนเทศภายในหน่วยงาน</t>
  </si>
  <si>
    <t xml:space="preserve">ค่าตอบแทนผู้เชี่ยวชาญ/ที่ปรึกษา </t>
  </si>
  <si>
    <t>ค่าเช่าบ้าน</t>
  </si>
  <si>
    <t>โครงการอำนวยการ ขับเคลื่อน ประมวลกฏหมายยาเสพติด</t>
  </si>
  <si>
    <t>โครงการสกัดกั้นยาเสพติดพื้นที่คมนาคมตอนใน</t>
  </si>
  <si>
    <t>โครงการควบคุมสารตั้งต้นและเคมีภัณฑ์</t>
  </si>
  <si>
    <t>โครงการดำเนินการต่อเจ้าหน้าที่ที่เกี่ยวข้องกับยาเสพติด</t>
  </si>
  <si>
    <t>โครงการพัฒนากระบวนการติดตามช่วยเหลือผู้ผ่านการบำบัดรักษา</t>
  </si>
  <si>
    <t>โครงการพัฒนากระบวนการบำบัดรักษาผู้เสพผู้ติดยาเสพติด</t>
  </si>
  <si>
    <t>โครงการรณรงค์ประชาสัมพันธ์ชักชวนผู้เสพเข้าสู่กระบวนการบำบัดรักษา</t>
  </si>
  <si>
    <t>โครงการอำนวยการด้านการปราบปรามยาเสพติด</t>
  </si>
  <si>
    <t>โครงการประชุมคณะอนุกรรมการตรวจสอบทรัพย์สินและอนุกรรมการกองทุนฯ</t>
  </si>
  <si>
    <t>โครงการอำนวยการบริหารทรัพย์สินคดียาเสพติด</t>
  </si>
  <si>
    <t>โครงการพัฒนาระบบการสกัดกั้นยาเสพติด</t>
  </si>
  <si>
    <t>โครงการสนับสนุนอัครราชทูตที่ปรึกษาด้านควบคุมยาเสพติด</t>
  </si>
  <si>
    <t>โครงการสำรวจข้อมูลและพื้นที่ปลูกพืชเสพติด</t>
  </si>
  <si>
    <t>โครงการศึกษา/วิจัยงานวิชาการพืชเสพติด</t>
  </si>
  <si>
    <t>โครงการพัฒนาระบบข้อมูลด้านการบำบัดรักษาผู้เสพ/ผู้ติดยาเสพติด</t>
  </si>
  <si>
    <t>โครงการมาตราการเบี่ยงเบนคดีออกจากกระบวนการยุติธรรม (DIVERSION)</t>
  </si>
  <si>
    <t>โครงการสกัดกั้นยาเสพติดทางท่าอากาศยาน ท่าเรือ ระบบขนส่งสินค้าและพัสดุภัณฑ์</t>
  </si>
  <si>
    <t>โครงการขยายผลโครงการหลวงและพื้นที่ต่อเนื่อง</t>
  </si>
  <si>
    <t>โครงการกำกับ ติดตาม ประเมินผลการดำเนินงาน</t>
  </si>
  <si>
    <t>โครงการการประสานความร่วมมือระหว่างประเทศ</t>
  </si>
  <si>
    <t>โครงการติดตามและประเมินผลการสร้างภูมิคุ้มกันในเด็กปฐมวัย</t>
  </si>
  <si>
    <t>โครงการขยายเครือข่ายการสร้างภูมิคุ้มกันเด็กและเยาวชนในสถานศึกษา</t>
  </si>
  <si>
    <t>โครงการส่งเสริมและพัฒนาองค์กรและเครือข่ายเยาวชน</t>
  </si>
  <si>
    <t xml:space="preserve">โครงการป้องกันยาเสพติดในพระสงฆ์ </t>
  </si>
  <si>
    <t>โครงการอำนวยการ ขับเคลื่อน การป้องกันและแก้ไขปัญหายาเสพติดในหมู่บ้าน/ชุมชน</t>
  </si>
  <si>
    <t>โครงการเครือข่ายสภาเกษตรกรฯ</t>
  </si>
  <si>
    <t>โครงการพัฒนารูปแบบการค้นหาผู้เสพเข้าสู่กระบวนการบำบัดรักษา</t>
  </si>
  <si>
    <t>โครงการจำแนกคัดกรองผู้เสพ/ผู้ติดยาเสพติด</t>
  </si>
  <si>
    <t>โครงการเตรียมการสนับสนุนเครื่องมือและอำนวยการในการตรวจพิสูจน์หาสารเสพติด</t>
  </si>
  <si>
    <t>โครงการบูรณาการแผนและงบประมาณทุกระดับ</t>
  </si>
  <si>
    <t>โครงการรณรงค์และสร้างการรับรู้ของประชาชนเกี่ยวกับยาเสพติด</t>
  </si>
  <si>
    <t>โครงการพัฒนาทางเลือกพื้นที่สามเหลี่ยมทองคำและลุ่มแม่น้ำโขง</t>
  </si>
  <si>
    <t>โครงการอำนวยการแผนสกัดกั้นยาเสพติดพื้นที่สามเหลี่ยมทองคำและลุ่มแม่น้ำโขง</t>
  </si>
  <si>
    <t>โครงการปราบปรามนักค้ายาเสพติดรายสำคัญและเครือข่ายพื้นที่สามเหลี่ยมทองคำและลุ่มน้ำแม่โขง</t>
  </si>
  <si>
    <t>โครงการควบคุมสารตั้งต้นและเคมีภัณฑ์พื้นที่สามเหลี่ยมทองคำและลุ่มน้ำแม่โขง</t>
  </si>
  <si>
    <t>โครงการอำนวยการ ด้านการข่าวและเทคโนโลยีสืบสวนพื้นที่สามเหลี่ยมทองคำและลุ่มแม่น้ำโขง</t>
  </si>
  <si>
    <t>โครงการขยายกลไกและเครือข่ายการป้องกันและแก้ไขปัญหายาเสพติดในกลุ่มผู้ใช้แรงงานและสถานประกอบการ</t>
  </si>
  <si>
    <t>โครงการสร้างการรับรู้การใช้ยาในทางที่ผิด</t>
  </si>
  <si>
    <t>โครงการปรับปรุงกฏหมายพืชเสพติด</t>
  </si>
  <si>
    <t>โครงการพัฒนาระบบข้อมูลยาเสพติดจังหวัด</t>
  </si>
  <si>
    <t>ค่าล่วงเวลา</t>
  </si>
  <si>
    <t>ค่าเดินทางไปปฏิบัติราชการ</t>
  </si>
  <si>
    <t>ค่าจ้างเหมาบริการ</t>
  </si>
  <si>
    <t>การพัสดุ (จัดซื้อจัดจ้าง)</t>
  </si>
  <si>
    <t>ค่าวัสดุ</t>
  </si>
  <si>
    <t>การประชุมภายในกอง/สำนัก และภารกิจที่ได้รับมอบหมาย</t>
  </si>
  <si>
    <t>ค่าสาธารณูปโภค (งบดำเนินงาน)</t>
  </si>
  <si>
    <t>ค่าสาธารณูปโภค (งบรายจ่ายอื่นด้านป้องกันฯ)</t>
  </si>
  <si>
    <t>ค่าสาธารณูปโภค (งบรายจ่ายอื่นด้านปราบปรามฯ)</t>
  </si>
  <si>
    <t>ค่าเบี้ยประชุมคณะกรรมการ</t>
  </si>
  <si>
    <t>โครงการให้ความช่วยเหลือส่งเสริมศักยภาพประเทศเพื่อนบ้านควบคุมยาเสพติด</t>
  </si>
  <si>
    <r>
      <rPr>
        <b/>
        <u/>
        <sz val="14"/>
        <color indexed="8"/>
        <rFont val="TH SarabunPSK"/>
        <family val="2"/>
      </rPr>
      <t>ตารางที่ 8</t>
    </r>
    <r>
      <rPr>
        <b/>
        <sz val="14"/>
        <color indexed="8"/>
        <rFont val="TH SarabunPSK"/>
        <family val="2"/>
      </rPr>
      <t xml:space="preserve"> เปรียบเทียบผลการคำนวณต้นทุนผลผลิตย่อยแยกตามแหล่งเงิน</t>
    </r>
  </si>
  <si>
    <t>ต้นทุนผลผลิตประจำปีงบประมาณ พ.ศ. 2559 (ต.ค. 59 - ก.ย. 60)</t>
  </si>
  <si>
    <t>ต้นทุน  รวม   เพิ่ม/  (ลด) %</t>
  </si>
  <si>
    <t>หน่วยนับเพิ่ม/(ลด) %</t>
  </si>
  <si>
    <t>1. การสร้างภูมิคุ้มกันในเด็กปฐมวัย</t>
  </si>
  <si>
    <t>2. การสร้างภูมิคุ้มกันยาเสพติดในสถานศึกษา</t>
  </si>
  <si>
    <t>3. การสร้างภูมิคุ้มกันเด็กและเยาวชนนอกสถานศึกษา</t>
  </si>
  <si>
    <t>4. การสร้างภูมิคุ้มกันในแรงงาน</t>
  </si>
  <si>
    <t>5. การป้องกันในกลุ่มประชาชน/หมู่บ้าน/ชุมชน</t>
  </si>
  <si>
    <t>6. การบำบัดรักษา</t>
  </si>
  <si>
    <t>7. การบริหารจัดการระบบการบำบัดรักษา</t>
  </si>
  <si>
    <t>8. การติดตาม ช่วยเหลือ ผู้ผ่านการบำบัดรักษา</t>
  </si>
  <si>
    <t>คดี</t>
  </si>
  <si>
    <t>9. การสกัดกั้นยาเสพติดบูรณาการ</t>
  </si>
  <si>
    <t>10. การปราบปรามยาเสพติด</t>
  </si>
  <si>
    <t>ไร่</t>
  </si>
  <si>
    <t>11. การควบคุมพืชเสพติด</t>
  </si>
  <si>
    <t>12. ความร่วมมือระหว่างประเทศ</t>
  </si>
  <si>
    <t>13. การบริหารจัดการอย่างบูรณาการ</t>
  </si>
  <si>
    <t>ต้นทุนผลผลิตประจำปีงบประมาณ พ.ศ. 2559 (ต.ค. 60 - ก.ย. 61)</t>
  </si>
  <si>
    <t>ตารางเปรียบเทียบผลการคำนวณต้นทุนผลผลิตระหว่างปีงบประมาณ พ.ศ.2560 และ ปีงบประมาณ พ.ศ.2561</t>
  </si>
  <si>
    <t>2.การสร้างภูมิคุ้มกันเด็กและเยาวชนในสถานศึกษา</t>
  </si>
  <si>
    <t>3.สร้างภูมิคุ้มกันเด็กและเยาวชนนอกสถานศึกษา</t>
  </si>
  <si>
    <t>4.การสร้างเครือข่ายเด็กและเยาวชนเพื่อป้องกันยาเสพติด</t>
  </si>
  <si>
    <t>5.การสร้างภูมิคุ้มกันในกลุ่มแรงงานและสถานประกอบการ</t>
  </si>
  <si>
    <t>6.การสร้างภูมิคุ้มกันในกลุ่มประชาชน</t>
  </si>
  <si>
    <t>7.เสริมสร้างหมู่บ้าน/ชุมชนเข้มแข็งเอาชนะยาเสพติด</t>
  </si>
  <si>
    <t>8.กองทุนแม่ของแผ่นดิน</t>
  </si>
  <si>
    <t>9.การพัฒนาทางเลือก</t>
  </si>
  <si>
    <t>10.การบำบัดรักษาผู้เสพผู้ติดยาเสพติด</t>
  </si>
  <si>
    <t>11.การค้นหา/คัดกรองผู้เสพเข้าสู่กระบวนการบำบัดฟื้นฟูยาเสพติด</t>
  </si>
  <si>
    <t>12.การพัฒนาข้อมูลด้านการบำบัดรักษา</t>
  </si>
  <si>
    <t>13.การพัฒนามาตราการบำบัดรักษาทางเลือก</t>
  </si>
  <si>
    <t>14.การติดตาม/ช่วยเหลือผู้ผ่านกระบวนการบำบัดรักษา</t>
  </si>
  <si>
    <t>15.การสกัดกั้นยาเสพติด</t>
  </si>
  <si>
    <t>16.การปราบปรามยาเสพติด</t>
  </si>
  <si>
    <t>17.การควบคุมพืชเสพติด</t>
  </si>
  <si>
    <t>18.การตรวจสอบทรัพย์สินคดียาเสพติด</t>
  </si>
  <si>
    <t>19.การตรวจพิสูจน์ยาเสพติด</t>
  </si>
  <si>
    <t>20.การประสานความร่วมมือระหว่างประเทศ</t>
  </si>
  <si>
    <t>21.การยกระดับความร่วมมือกับกลุ่มประเทศสมาชิกอาเซียนในการแก้ไขปัญหายาเสพติด</t>
  </si>
  <si>
    <t>22.ความร่วมมือระหว่างประเทศด้านความช่วยเหลือ</t>
  </si>
  <si>
    <t>23.ความร่วมมือระหว่างประเทศด้านการพัฒนาทางเลือก</t>
  </si>
  <si>
    <t>24.แผนปฏิบัติการพื้นที่สามเหลี่ยมทองคำ</t>
  </si>
  <si>
    <t>25.การบริหารจัดการเชิงยุทธศาสตร์</t>
  </si>
  <si>
    <t>26.การบริหารจัดการทั่วไป</t>
  </si>
  <si>
    <t>27.การบริหารจัดการ</t>
  </si>
  <si>
    <r>
      <rPr>
        <b/>
        <u/>
        <sz val="15"/>
        <rFont val="TH SarabunPSK"/>
        <family val="2"/>
      </rPr>
      <t>ตารางที่ 9</t>
    </r>
    <r>
      <rPr>
        <b/>
        <sz val="15"/>
        <rFont val="TH SarabunPSK"/>
        <family val="2"/>
      </rPr>
      <t xml:space="preserve"> เปรียบเทียบผลการคำนวณต้นทุนกิจกรรมหลักแยกตามแหล่งเงิน</t>
    </r>
  </si>
  <si>
    <t>ต้นทุนรวม   เพิ่ม/(ลด) %</t>
  </si>
  <si>
    <t>หน่วยนับ เพิ่ม/(ลด)%</t>
  </si>
  <si>
    <t>ต้นทุนต่อหน่วยเพิ่ม/(ลด)  %</t>
  </si>
  <si>
    <t>1. การปราบปรามการค้ายาเสพติด</t>
  </si>
  <si>
    <t>2. การประสานความร่วมมือระหว่างประเทศ</t>
  </si>
  <si>
    <t>2. ความร่วมมือระหว่างประเทศด้านปราบปราม</t>
  </si>
  <si>
    <t>3. การสร้างภูมิคุ้มกันและป้องกันยาเสพติด</t>
  </si>
  <si>
    <t>4. การสร้างสภาพแวดล้อมและการมีส่วนร่วมป้องกันยาเสพติด</t>
  </si>
  <si>
    <t>7. การบริหารจัดการอย่างบูรณาการ</t>
  </si>
  <si>
    <t>8. บุคลากรภาครัฐด้านการป้องกันและแก้ไขปัญหายาเสพติด</t>
  </si>
  <si>
    <r>
      <rPr>
        <b/>
        <u/>
        <sz val="16"/>
        <rFont val="TH SarabunPSK"/>
        <family val="2"/>
      </rPr>
      <t>ตารางที่ 10</t>
    </r>
    <r>
      <rPr>
        <b/>
        <sz val="16"/>
        <rFont val="TH SarabunPSK"/>
        <family val="2"/>
      </rPr>
      <t xml:space="preserve"> เปรียบเทียบผลการคำนวณต้นทุนผลผลิตหลักแยกตามแหล่งเงิน</t>
    </r>
  </si>
  <si>
    <t>ต้นทุนต่อหน่วยเพิ่ม/(ลด) %</t>
  </si>
  <si>
    <t>ตารางเปรียบเทียบผลการคำนวณต้นทุนผลผลิตระหว่างปีงบประมาณ พ.ศ. 2560 และ ปีงบประมาณ พ.ศ. 2561</t>
  </si>
  <si>
    <r>
      <rPr>
        <b/>
        <u/>
        <sz val="15"/>
        <rFont val="TH SarabunPSK"/>
        <family val="2"/>
      </rPr>
      <t>ตารางที่ 11</t>
    </r>
    <r>
      <rPr>
        <b/>
        <sz val="15"/>
        <rFont val="TH SarabunPSK"/>
        <family val="2"/>
      </rPr>
      <t xml:space="preserve"> รายงานเปรียบเทียบต้นทุนทางตรงตามศูนย์ต้นทุนแยกตามประเภทค่าใช้จ่าย และลักษณะของต้นทุน (คงที่/ผันแปร)</t>
    </r>
  </si>
  <si>
    <t>ต้นทุนคงที่</t>
  </si>
  <si>
    <t>ต้นทุนผันแปร</t>
  </si>
  <si>
    <t>คชจ.บุคลากร</t>
  </si>
  <si>
    <t>คชจ.ฝึกอบรม</t>
  </si>
  <si>
    <t>คชจ.เดินทาง</t>
  </si>
  <si>
    <t>คชจ.เงินอุดหนุน</t>
  </si>
  <si>
    <t>คชจ.อื่น</t>
  </si>
  <si>
    <t>ต้นทุนคงที่ เพิ่ม/(ลด)%</t>
  </si>
  <si>
    <t>ต้นทุนผันแปร เพิ่ม/(ลด)%</t>
  </si>
  <si>
    <t>ต้นทุนรวม เพิ่ม/(ลด)%</t>
  </si>
  <si>
    <t>5106</t>
  </si>
  <si>
    <t>10. ปปส.กทม</t>
  </si>
  <si>
    <t>4. สำนักพัฒนาบุคคลด้านการป้องกันและปราบปรามยาเสพติด</t>
  </si>
  <si>
    <t>7. สำนักตรวจสอบทรัพย์สิน/กลุม่บังคับโทษปรับ</t>
  </si>
  <si>
    <t>รายงานเปรียบเทียบผลการคำนวณต้นทุนผลผลิตระหว่างปีงบประมาณ พ.ศ. 2560 และปีงบประมาณ พ.ศ. 2561</t>
  </si>
  <si>
    <r>
      <rPr>
        <b/>
        <u/>
        <sz val="15"/>
        <rFont val="TH SarabunPSK"/>
        <family val="2"/>
      </rPr>
      <t>ตารางที่ 12</t>
    </r>
    <r>
      <rPr>
        <b/>
        <sz val="15"/>
        <rFont val="TH SarabunPSK"/>
        <family val="2"/>
      </rPr>
      <t xml:space="preserve">  รายงานเปรียบเทียบต้นทุนทางอ้อมตามลักษณะของต้นทุน (คงที่/ผันแปร)</t>
    </r>
  </si>
  <si>
    <t>ต้นทุนทางอ้อม</t>
  </si>
  <si>
    <t>ต้นทุนทางอ้อม ปีงบประมาณ พ.ศ. 2560</t>
  </si>
  <si>
    <t>เพิ่ม/(ลด)%</t>
  </si>
  <si>
    <t>ค่าเสื่อมราคาและตัดจำหน่าย</t>
  </si>
  <si>
    <t>ค่าตอบแทนใช้สอย วัสดุ และสาธารณูปโภค</t>
  </si>
  <si>
    <t>ต้นทุนทางอ้อม ปีงบประมาณ พ.ศ. 2561</t>
  </si>
  <si>
    <t xml:space="preserve"> ต้นทุนต่อหน่วย   เพิ่ม/    (ลด) %</t>
  </si>
  <si>
    <t>เนื่องจากเปลี่ยนหน่วยนับจึงไม่สามารถเปรียบเทียบต้นทุนต่อหน่วยได้</t>
  </si>
  <si>
    <t>เรือนจำ</t>
  </si>
  <si>
    <t>ชุด</t>
  </si>
  <si>
    <t>มาตรการ</t>
  </si>
  <si>
    <t>การวิเคราะห์สาเหตุของการเปลี่ยนแปลงของต้นทุนต่อหน่วยกิจกรรมย่อย  (อธิบายเฉพาะต้นทุนต่อหน่วยกิจกรรมย่อยที่เปลี่ยนแปลงอย่างมีสาระสำคัญ)</t>
  </si>
  <si>
    <t>กิจกรรมย่อยหน่วยงานหลัก</t>
  </si>
  <si>
    <t>เหตุผล</t>
  </si>
  <si>
    <t>ปีงบประมาณ 2561 ต้นทุนรวมเพิ่มขึ้นจากปี 2560 ร้อยละ 136.80 เนื่องจาก ได้มีการผลักดันการดำเนินงานสร้างภูมิคุ้มกันในเด็กปฐมวัยให้ครอบคลุมศูนย์พัฒนาเด็กเล็กทุกแห่ง โดยสำนักงาน ป.ป.ส.เป็นผู้สนับสนุนคู่มือและสื่อการเรียนการสอน การพัฒนาสนับสนุนครูผู้สอนและครูผู้ดูแลเด็กให้มีความรู้ความเข้าใจในการสร้างภูมิคุ้มกันยเสพติด จำนวน 120,248 คน และ สำนักงาน ป.ป.ส. ต้องกำหนดแนวทางในการกำกับติดตามการขับเคลื่อนงานและประเมินผลการสร้างภูมคุ้มกันยาเสพติดของเด็กปฐมวัย</t>
  </si>
  <si>
    <t>ปีงบประมาณ 2561 ต้นทุนรวมลดลงจากปี 2560 ร้อยละ 25.13 เนื่องจากในปี 2560 เป็นการศึกษาและการทดลองโครงการพัฒนาทางเลือกในการป้องกันและแก้ไขปัญหายาเสพติดในประเทศไทย ทำให้ต้นทุนต่อหน่วยสูง แต่การดำเนินงานในปี 2561 เป็นการน้อมนำแนวทางศาสตร์พระราชาด้านการพัฒนาทางเลือก (Alternative Development) มาดำเนินการภายใต้โครงการ “ร้อยใจรักษ์” เพื่อให้ ประชาชนมีคุณภาพชีวิตที่ดีขึ้น มีส่วนร่วมในการพัฒนาชุมชนให้เข้มแข็งในทุกมิติ ส่งเสริมอาชีพให้ประชาชนมีความเป็นอยู่ที่ดี มีรายได้มั่นคงอย่างต่อเนื่อง สามารถบริหารจัดการขับเคลื่อนการพัฒนาชุมชน และร่วมกันดูแลรักษาทรัพยากรธรรมชาติในระยะยาวในพื้นที่ เพื่อสร้างภูมิคุ้มกันให้แก่ชุมชน ไม่ให้หันไปยุ่งเกี่ยวกับยาเสพติดและสิ่งผิดกฎหมายอื่น ๆ ปีงบประมาณ 2561 ต้นทุนต่อหน่วยจึงลดลงจากปี 2560</t>
  </si>
  <si>
    <t>ปีงบประมาณ 2561 ต้นทุนรวมเพิ่มขึ้นจากปี 2560 ร้อยละ 227.59 เนื่องจากในปี 2561 มีการบูรณาการสกัดกั้นยาเสพติดตามเส้นทางคมนาคมที่เป็นเส้นทางผ่านของการลำเลียงยาเสพติด การตั้งด่านถาวร จุดผ่านแดนถาวร จุดผ่อนปรน จุดตรวจจุดสกัดที่อยู่ในเส้นทางคมนาคมสายหลักและสายรอง และการตั้งจุดตรวจโดยปรับเปลี่ยนห้วงเวลาตามสถานการณ์และข้อมูลการข่าว โดยปี 2561 ได้เพิ่มประสิทธิภาพการสกัดกั้นยาเสพติดโดยสนับสนุนเครื่องมือที่ทันสมัย การบูรณาการการใช้เทคโนโลยีเพื่อการสืบสวนขยายผลในจุดตรวจ/จุดสกัด การสนับสนุนอุปกรณ์ที่ทันสมัยประจำด่านตรวจ รวมถึงการตรวจสอบการลักลอบการลำเลียงยาเสพติดที่แฝงมากับระบบคมนาคมขนส่งทุกประเภท ส่งผลให้ต้นทุนต่อเพิ่มสูงขึ้น ร้อยละ 221.91</t>
  </si>
  <si>
    <t>ปีงบประมาณ 2561 โครงการปราบปรามนักค้ายาเสพติดรายสำคัญและเครือข่าย ต้นทุนรวมเพิ่มขึ้น ร้อยละ 100.54 เนื่องจากมีการมุ่งเน้นมาตรการปราบปราม ทำลายศักยภาพกลุ่ม/เครือข่ายการค้ายาเสพติดทั้งกระบวนการ โดยการบูรณาการร่วมกับหน่วยงานเพื่อดำเนินการกับนักค้ายาเสพติดรายสำคัญ ขยายผลเครือข่ายและตัดวงจรทางการเงินของกลุ่มนักค้ายาเสพติด ใช้มาตรการบังคับใช้กฎหมายโดยการปราบปรามทำลายการผลิตและการค้าให้ถึงเครือข่ายต้นตอเพื่อตัดวงจรเครือข่ายการค้ายาเสพติด ส่งผลให้ปริมาณ ต้นทุนรวม และต้นทุนต่อหน่วยเพิ่มขึ้น</t>
  </si>
  <si>
    <t>ปีงบประมาณ 2561 โครงการการดำเนินการต่อข้อร้องเรียนของประชาชน ต้นทุนรวามเพิ่มขึ้น ร้อยละ 82.76 ต้นทุนต่อหน่วยเพิ่มขึ้น ร้อยละ 74.97 เนื่องจากการดำเนินการตรวจสอบข้อมูลผู้ถูกร้องเรียน และแก้ไขปัญหาเรื่องร้องเรียน และการรายงานผลการดำเนินการ โดยส่งข้อมูลให้หน่วยงานที่เกี่ยวข้องนำเรื่องร้องเรียนไปตรวจสอบข้อเท็จจริง และรายงานผลการปฏิบัติให้สำนักงาน ป.ป.ส. ทุกข้อร้องเรียน ประกอบกับในปีงบประมาณ 2561 ได้มีปฏิบัติการปิดล้อมตรวจค้นยาเสพติดในหมู่บ้าน/ชุมชน หรือพื้นที่เสี่ยงตามเรื่องร้องเรียน ภายใต้โครงการ "1386 ทั่วไทย ประชาชนปลอดภัยจากยาเสพติด" เพื่อลดความเดือดร้อนของประชาชน ส่งผลให้ต้นทุนรวม และต้นทุนต่อหน่วยเพิ่มขึ้น</t>
  </si>
  <si>
    <t>ปีงบประมาณ 2561 โครงการดำเนินการต่อเจ้าหน้าที่ที่เกี่ยวข้องกับยาเสพติด ต้นทุนรวมเพิ่มขึ้นร้อยละ 258.59 ต้นทุนต่อหน่วยเพิ่มขึ้นร้อยละ 208.37 เนื่องจากให้ความสำคัญกับกลไกการรับเรื่องร้องเรียนของเจ้าหน้าที่ของรัฐในทุกช่องทาง ได้แก่ สายด่วน 1386 ตู้ ปณ.123 สายด่วนสำนักงาน ป.ป.ท. ศูนย์ดำรงธรรม ศูนย์บริการประชาชน 1111 และศูนย์รับเรื่องร้องเรียนเจ้าหน้าที่รัฐเรียกรับผลประโยชน์ 1299 โดยได้มีการตรวจสอบทุกรายที่มีการร้องเรียน เพื่อตรวจสอบพฤติการณ์ ส่งผลให้ต้นทุนรวมและต้นทุนต่อหน่วยเพิ่มขึ้น</t>
  </si>
  <si>
    <t>ปีงบประมาณ 2561 โครงการพัฒนาระบบการตรวจสอบทรัพย์สินคดียาเสพติด ต้นทุนรวมลดลงร้อยละ 81.62 ต้นทุนต่อหน่วยลดลงร้อยละ 84.23 เนื่องจากการตรวจสอบทรัพย์สินคดียาเสพติดรายสำคัญทุกราย โดยการบูรณาการกฎหมายที่มีอยู่และเกี่ยวข้องกับการตรวจสอบทรัพย์สิน ได้แก่ พระราชบัญญัติมาตรการในการปราบปรามผู้กระทำความผิดเกี่ยวกับยาเสพติด พ.ศ. 2534 พระราชบัญญัติป้องกันและปราบปรามการฟอกเงิน พ.ศ. 2542 เพื่อดำเนินการกับทรัพย์สินที่เกี่ยวข้องกับการกระทำความผิดและทรัพย์สินทีได้จากการกระทำความผิดเกี่ยวกับยาเสพติด</t>
  </si>
  <si>
    <t xml:space="preserve">ปีงบประมาณ 2561 โครงการให้ความช่วยเหลือส่งเสริมศักยภาพประเทศเพื่อนบ้านควบคุมยาเสพติด ต้นทุนรวมเพิ่มขึ้นร้อยละ 47.14 โดยประเทศไทยได้ให้การสนับสนุน ช่วยเหลือกลุ่มประเทศในพื้นที่สามเหลี่ยมทองคำ ทั้งในด้านการสนับสนุนอุปกรณ์ เครื่องมือ และการพัฒนาบุคลากร เพื่อสร้างความเข้มแข็งให้กับประเทศในพื้นที่บริเวณสามเหลี่ยมทองคำ เช่น โครงการเสริมสร้างและยกระดับความร่วมมือกับประเทศเพื่อนบ้านในการยุติและทำลายเครือข่ายการค้ายาเสพติดระหว่างประเทศกับหน่วยงานกลางด้านยาเสพติดของ ประเทศเมียนมา ประเทศลาว ประเทศกัมพูชา และประเทศเวียดนาม/โครงการเสริมสร้างและยกระดับความร่วมมือด้านบำบัดรักษาและฟื้นฟูสมรรถภาพผู้ติดยาเสพติดกับประเทศกัมพูชา /การฝึกอบรมการตรวจพิสูจน์เบื้องต้น สารตั้งต้น และเคมีภัณฑ์ ที่ใช้ในการผลิต และการจัดการศึกษาดูงานการบำบัดและฟื้นฟูผู้เสพ/ผู้ติดยาเสพติด ในภูมิภาคแม่น้ำโขงสำหรับเจ้าหน้าที่ปราบปรามและบังคับใช้กฎหมายของเมียนมา ซึ่งการให้ความช่วยเหลือดังกล่าว วัตถุประสงค์เพื่อสร้างความเข้มแข็งให้กับประเทศในพื้นที่บริเวณสามเหลี่ยมทองคำ
</t>
  </si>
  <si>
    <t xml:space="preserve">ปีงบประมาณ 2561 โครงการพัฒนานโยบายและยุทธศาสตร์ ต้นทุนรวมเพิ่มขึ้นร้อยละ 160.88 ต้นทุนต่อหน่วยเพิ่มขึ้น 139.41 เนื่องจากในปี 2561 มีการพัฒนาการขับเคลื่อนการป้องกันและแก้ไขปัญหายาเสพติดเชิงรุกแบบบูรณาการ ตามแนวทางของร่างกรองยุทธศาสตร์ ระยะ 20 ปี /แผนพัฒนาเศรษฐกิจและสังคมแห่งชาติ ฉบับที่ 12 /แผนยุทธศาสตร์การป้องกันและแก้ไขปัญหายาเสพติด ระยะ 20 ปี เพื่อให้นโยบายและยุทธศาสตร์การป้องกันและแก้ไขปัญหายาเสพติดมีความสอดคล้องกับแผนข้างต้น </t>
  </si>
  <si>
    <t>การสร้างภูมิคุ้มกันและป้องกันยาเสพติด</t>
  </si>
  <si>
    <t>การสร้างสภาพแวดล้อมและการมีส่วนร่วมป้องกันยาเสพติด</t>
  </si>
  <si>
    <t>การป้องกันยาเสพติด</t>
  </si>
  <si>
    <t>การบำบัดรักษาผู้ติดยาเสพติด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</si>
  <si>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(อธิบายเฉพาะต้นทุนต่อหน่วยผลผลิตย่อยที่เปลี่ยนแปลงอย่างมีสาระสำคัญ)</t>
  </si>
  <si>
    <t>ปีงบประมาณ 2561 การสร้างภูมิคุ้มกันในเด็กปฐมวัย ต้นทุนรวมเพิ่มขึ้นร้อยละ 1,080.81 ต้นทุนต่อหน่วยเพิ่มขึ้นร้อยละ 1,221.19 เนื่องจากการสร้างภูมิคุ้มกันในกลุ่มเด็กปฐมวัย เป็นพื้นฐานการสร้างภูมิคุ้มกันยาเสพติดให้กับเด็กและเยาวชนให้มีภูมิคุ้มกันยาเสพติด จึงต้องมีการวางระบบการป้องกันยาเสพติดในระยะยาว ผลักดันให้มีการสร้างภูมิคุ้มกันในเด็กปฐมวัยครอบคลุมโรงเรียนที่มีการเรียนการสอนระดับชั้นปฐมวัย และศูนย์พัฒนาเด็กเล็กทุกแห่ง การพัฒนาครูผู้สอนและครูผู้ดูแลเด็กให้มีความรู้ความเข้าใจในการสร้างภูมิคุ้มกันยาเสพติด การพัฒนา จัดการองค์ความรู้เกี่ยวกับการสร้างภูมิคุ้มกันยาเสพติดในเด็กปฐมวัย เน้นการประยุกต์ใช้องค์ความรู้เพื่อให้เกิดความยั่งยืน การกำหนดแนวทางในการกำกับติดตามการขับเคลื่อนงานและประเมินผลสำเร็จในการดำเนินงาน ส่งผลให้ต้นทุนต่อหน่วยผลผลิตย่อย ในปี 2561 สูงขึ้น</t>
  </si>
  <si>
    <t>ปีงบประมาณ 2561 การสร้างภูมิคุ้มกันเด็กและเยาวชนในสถานศึกษา ต้นทุนรวมเพิ่มขึ้นร้อยละ 17.45 ต้นทุนต่อหน่วยลดลง ร้อยละ 38.08 เนื่องจากการดำเนินงานสร้างภูมิคุ้มกันยาเสพติดในสถานศึกษา ครอบคลุมเด็กและเยาวชนทั้งระดับประถมศึกษา ที่มุ่งเน้นการสร้างภูมิคุ้มกันโดยการเสริมสร้างทักษะชีวิตควบคู่กับการส่งเสริมคุณธรรมจริยธรรม ระดับมัธยมศึกษา มุ่งสอดแทรกการเสริมทักษะชีวิตไว้ในกิจกรรมการเรียนการสอนในหลักสูตร และระดับอาชีวศึกษาและอุดมศึกษา มุ่งเน้นกิจกรรมที่สามารถนำความรู้และทักษาอาชีพเพื่อสร้างคุณค่าให้แก่ตนเอง ชุมชน และสังคม เพื่อลดโอกาสการเข้าไปเกี่ยวข้องกับยาเสพติด โดยมีการสร้างภูมิคุ้มกันเด็กและเยาวชนในสถานศึกษาเพิ่มขึ้นจากปี 2560 เพิ่มขึ้นร้อยละ 89.68 ส่งผลให้ต้นทุนรวมและต้นทุนต่อหน่วยเพิ่มขึ้น</t>
  </si>
  <si>
    <t>การสร้างภูมิคุ้มกันเด็กและเยาวชนนอกสถานศึกษา เป้าหมายคือ กลุ่มเด็กและเยาวชนอายุ 3-15 ปีที่ไม่ได้รับการศึกษาขั้นพื้นฐานด้วยสาเหตุต่างๆ/ไม่ได้ศึกษาต่อและไม่มีงานทำ โดยให้แนวคิดเปลี่ยนกลุ่มเสี่ยงให้เป็นพลังโดยการจัดกิจกรรมปรับพฤติกรรมเสี่ยง การให้ความช่วยเหลือสงเคราะห์ตามจำนวนที่ค้นพบอย่างเหมาะสม เช่น การให้การศึกษา การฝึกอาชีพ การผลักดันให้เข้าถึงแหล่งจ้างงาน และสนับสนุนให้เด็กทำกิจกรรมเพื่อสังคม โดยในปี 2561 ต้นทุนต่อหน่วยลดลง ร้อยละ 69 หน่วยนับลดลงร้อยละ 30.46 และต้นทุนต่อหน่วยลดลงร้อยละ 55.42</t>
  </si>
  <si>
    <t>การสร้างภูมิคุ้มกันในกลุ่มแรงงานและสถานประกอบการ ด้วยการสร้างสภาพแวดล้อมที่ดีเพื่อลดปัจจัยเสี่ยงต่อการเข้าไปใช้ยาเสพติดครอบคลุมกลุ่มแรงงานในสถานประกอบการที่มีลูกจ้างตั้งแต่ 10 คนขึ้นไป /กลุ่มแรงงานในสถานประกอบการที่มีลูกจ้างต่ำกว่า 10 คนลงมา และกลุ่มแรงงานเฉพาะ (แรงงานไทยที่ไปทำงานต่างประเทศ) โดยเป็นการดำเนินงานร่วมกับของหลายหน่วยงานในการรณรงค์ให้ความรู้ป้องกันยาเสพติดแก่ผู้ใช้แรงงาน โครงการโรงงานสีขาว โครงการมาตรฐานการป้องกันและแกไขปัญหายาเสพติดในสถานประกอบกิจการ (มยส.) โครงการ TO BE NUMBER ONE โครงการส่งเสริมอาชีพพัฒนาทักษฝีมือแรงงาน โครงการอาสาสมัครแรงงานต้านภัยยาเสพติด โครงการรณรงค์ให้ความรู้และสร้างจิตสำนึกในกลุ่มแรงงานเฉพาะ โดยในปี 2561 ต้นทุนรวมเพิ่มขึ้นร้อยละ 16.36 ในขณะที่ปริมาณเพิ่มขึ้นร้อยละ 45.61 ส่งผลให้ต้นทุนต่อหน่วยลดลงร้อยละ 20.08</t>
  </si>
  <si>
    <t>การสร้างภูมิคุ้มกันในกลุ่มประชาชน เป้าหมายคือประชาชนในหมู่บ้าน/ชุมชนทุกแห่งทั่วประเทศ โดยจัดกิจกรรมรณรงค์ประชาสัมพันธ์ให้เข้าถึงประชาชน โดยใช้ช่องทางสื่อสารมวลชนทุกรูปแบบและสอดคล้องกับกลุ่มเป้าหมายจัดทำเนื้อหาสาระที่เน้นการให้ความคิด ให้ความรู้ความเข้าใจต่ออันตราย ผลกระทบจากปัญหายาเสพติด โดยในปี 2561 ได้จัดโครงการถวายความรู้เพื่อการป้องกันยาเสพติดแก่พระสังฆาธิการและพระวิยาธิการและโครงการวัดสีขาวเพิ่มเติม ส่งผลให้ต้นทุนรวมเพิ่มขึ้นร้อยละ 19.68 ต้นทุนต่อหน่วยลดลงร้อยละ 26.65</t>
  </si>
  <si>
    <t>นโยบายการแก้ไขปัญหาผู้เสพ/ผู้ติดยาเสพติด โดยการปรับนโยบาย ภายใต้แนวคิด “ผู้เสพ คือ ผู้ป่วย” มีการดำเนินงานทั้งในเชิงของการปรับกฎหมาย การปรับกลไกการดำเนินงาน การพัฒนาบุคลากร รวมไปถึงการช่วยเหลือเพื่อให้ผู้ผ่านการบำบัดสามารถกลับมาใช้ชีวิตในสังคมได้อย่างปกติสุข มุ่งเน้นคุณภาพในการบำบัดอย่างจริงจัง ดำเนินการปรับปรุงระบบบำบัดทั้งระบบเพื่อลดผลกระทบผู้เสพผู้ติดยาเสพติด มุ่งเน้นการบำบัดที่มีคุณภาพ ส่งผลให้จำนวนผู้ที่เข้าสู่กระบวนการบำบัดภาพรวมลดลงอย่างต่อเนื่อง โดยเมื่อเปรียบเทียบกับปี 2560 พบว่า ปี 2561 ปริมาณผู้เข้าสู่การบำบัดรักษาลดลงร้อยละ 3.84 ต้นทุนรวมลดลงร้อยละ 10.86 และต้นทุนต่อหน่วยลดลงร้อยละ  7.30</t>
  </si>
  <si>
    <t>ปี 2561 การดำเนินงานด้านการป้องกันยาเสพติด เน้นการสร้างภูมิคุ้มกันยาเสพติดทุกกลุ่มเป้าหมาย ซึ่งในแต่ละกลุ่มได้กำหนดโครงการกิจกรรมที่มุ่งสู่กลุ่มเป้าหมายในระดับรายบุคคล ได้แก่ กลุ่มนักเรียนนักศึกษาในสถานศึกษาเริ่มสร้างภูมิคุ้มกันตั้งแต่ระดับปฐมวัย ประถมศึกษา มัธยมศึกษา อาชีวศึกษา และอุดมศึกษา กลุ่มเยาวชนนอกสถานศึกษา โดยระดับปฐมวัยใช้การเสริมกระบวนการพัฒนทักษะสมองเพื่อสร้างภูมิคุ้มกันให้เด็กให้มีความพร้อมก่อนเข้าสู่ระบบการเรียนการสอนในสถานศึกษา โดยกิจกรรมการป้องกันและแก้ไขปัญหายาเสพิตดในสถานศึกษา ประกอบด้วย การสร้างภูมิคุ้มกัน การค้นหา การรักษา การเฝ้าระวัง และการบริหารจัดการเพื่อให้เกิดการดูแลช่วยเหลือนักเรียนในสถานศึกษาที่เป็นระบบ ซึ่งขึ้นอยู่กับช่วงวัยและบริบทของสถานศึกษา การสร้างภูมิคุ้มกันให้กับกลุ่มแรงงานในสถานประกอบการและกลุ่มประชาชนทั่วไปที่อยู่ในหมู่บ้าน/ชุมชน โดยในปี 2561 กลุ่มเป้าหมายได้รับการสร้างภูมิคุ้มกันยาเสพติดเพิ่มขึ้นร้อยละ 139.84 ส่งผลให้ต้นทุนรวมเพิ่มขึ้น 74.41 ต้นทุนต่อหน่วยลดลงร้อยละ 27.28</t>
  </si>
  <si>
    <t>เป้าหมายแผนงานติดตามผู้ผ่านการบำบัดรักษา คือ การติดตามผู้ผ่านการบำบัดฟื้นฟูในปีงบประมาณ 2560 ทุกระบบที่ยังติดตามไม่ครบตามเกณฑ์ที่กำหนด และผู้ผ่านการบำบัดรักษาในปี 2561 ทุกระบบที่เข้ารับการบำบัดฟื้นฟูจนครบกระบวนการ โดยการติดตามดูแลช่วยเหลือตามกระบวนการขั้นตอนปกติของกระทรวงสาธารณสุข คือ 1) กลุ่มผู้ใช้ยาเสพติดให้ติดตามอย่างน้อย 1 ครั้งภายใน 30 วัน 2) กลุ่มผู้เสพและกลุ่มผู้ติดยาเสพติดให้ติดตามและสุ่มตรวจปัสสาวะ 4-7 ครั้งใน 1 ปี 3) กลุ่มที่มีภาวะฉุกเฉิน มีอาการก้าวร้าวจากสารกลุ่มแอมเฟตามีน ฝิ่น เฮโรอีน ให้ติดตามและสุ่มตรวจปัสสาวะ 4-7 ครั้ง/ปี โดยเมื่อเปรียบเทียบกับปี 2560 พบว่า ปี 2561 มีผู้ผ่านการบำบัดรักษาและได้รับการติดตามเพิ่มขึ้นร้อยละ 4.39 ต้นทุนรวมลดลงร้อยละ 43.24</t>
  </si>
  <si>
    <t>การควบคุมพืชเสพติดเพื่อไม่ให้เกิดอันตรายและให้สามารถใช้ประโยชน์ทางการแพทย์ได้และอุตสาหกรรมอย่างเหมาะสม โดยการสำรวจพื้นที่ปลูกพืชเสพติด ตัดทำลายพืชเสพติด สืบสวนหาข่าวและเฝ้าระวังปราบปรามจับกุมบุคคลเครือข่ายที่เกี่ยวข้อง ศึกษาวิจัยพัฒนางานวิชาการเกี่ยวกับพืชเสพติด โดยเมื่อเปรียบเทียบกับปี 2560 พบว่า ปริมาณการสำรวจและตัดทำลายพืชเสพติดลดลงร้อยละ 68.54 ส่งผลให้ต้นทุนรวมลดลงร้อยละ 55.07</t>
  </si>
  <si>
    <t>การประสานความร่วมมือระหว่างประเทศ เพื่อเสริมสร้างความร่วมมือระหว่างประเทสกับประเทศเพื่อนบ้าน อาเซียน นานาประเทศและองค์การระหว่างประเทศ เพื่อพัฒนาความสัมพันธ์อันจะนำไปสู่ความร่วมมือในการสกัดกั้น ปราบปราม และแก้ไขปัญหายาเสพติดที่ต้องอาศัยความร่วมมือระหว่างประเทศ โดยกิจกรรมที่ดำเนินการในปี 2561 ได้แก่ การพัฒนาความร่วมมือและการปฏิบัติตามพันธกรณีระหว่างประเทศ การเสริมสร้างและพัฒนาเพื่อยกระดับความร่วมมือระหว่างประเทศด้านการปราบปราม การพัฒนาความร่วมมือทางการข่าว การปฏิบัติเพื่อปิดล้อมพื้นที่การผลิตบริเวณสามเหลี่ยมทองคำ โครงการแม่น้ำโขงปลอดภัย โครงการประสานงานปราบปรามยาเสพติดชายแดน โครงการกัดกั้นบริเวณท่าอากาศยาน โครงการพัฒนาทางเลือกเพื่อชีวิตความเป็นอยู่ที่ยั่งยืน โครงการเฝ้าระวังปัญหายาเสพติดอาเซียน และโครงการพัฒนาบุคลากรด้านความร่วมมือระหว่างประเทศ โดยในปี 2561 ใช้งบประมาณเพิ่มขึ้นร้อยละ 75.52 ทำให้ต้นทุนต่อหน่วยเพิ่มสูงขึ้นร้อยละ 88.06</t>
  </si>
  <si>
    <t>การสร้างภูมิคุ้มกันและป้องกันยาเสพติด เน้นการสร้างภูมิคุ้มกันยาเสพติดทุกกลุ่มเป้าหมาย ซึ่งในแต่ละกลุ่มได้กำหนดโครงการกิจกรรมที่มุ่งสู่กลุ่มเป้าหมายในระดับรายบุคคล ได้แก่ กลุ่มนักเรียนนักศึกษาในสถานศึกษาเริ่มสร้างภูมิคุ้มกันตั้งแต่ระดับปฐมวัย ประถมศึกษา มัธยมศึกษา อาชีวศึกษา และอุดมศึกษา กลุ่มเยาวชนนอกสถานศึกษา โดยระดับปฐมวัยใช้การเสริมกระบวนการพัฒนทักษะสมองเพื่อสร้างภูมิคุ้มกันให้เด็กให้มีความพร้อมก่อนเข้าสู่ระบบการเรียนการสอนในสถานศึกษา โดยกิจกรรมการป้องกันและแก้ไขปัญหายาเสพิตดในสถานศึกษา ประกอบด้วย การสร้างภูมิคุ้มกัน การค้นหา การรักษา การเฝ้าระวัง และการบริหารจัดการเพื่อให้เกิดการดูแลช่วยเหลือนักเรียนในสถานศึกษาที่เป็นระบบ ซึ่งขึ้นอยู่กับช่วงวัยและบริบทของสถานศึกษา การสร้างภูมิคุ้มกันให้กับกลุ่มแรงงานในสถานประกอบการและกลุ่มประชาชนทั่วไปที่อยู่ในหมู่บ้าน/ชุมชน โดยในปี 2561 กลุ่มเป้าหมายได้รับการสร้างภูมิคุ้มกันยาเสพติดเพิ่มขึ้นร้อยละ 139.84 ส่งผลให้ต้นทุนรวมเพิ่มขึ้น 2575.96 ต้นทุนต่อหน่วยเพิ่มขึ้นร้อยละ 1015.71</t>
  </si>
  <si>
    <t>การสร้างสภาพแวดล้อมและการมีส่วนร่วมป้องกันยาเสพติด ปี 2561 เป้าหมายการดำเนินงาน คือ หมู่บ้าน/ชุมชนทั่วประเทศใน 878 อำเภอ และ 50 เขต/หมู่บ้าน/ชมุชนกองทุนแม่ของแผ่นดิน /หมู่บ้านชุมชนในพื้นที่จังหวัดชายแดน โดยการดำเนินงานกิจกรรมเสริมสร้างหมู่บ้าน/ชุมชนเข้มแข็งตามแนวชายแดน โครงการสร้างเครือข่ายเพื่อการมีส่วนร่วมในการป้องกันเฝ้าระวังปัญหายาเสพติด การขยายหมู่บ้าน/ชุมชนกองทุนแม่ของแผ่นดิน การพัฒนาและรักษาความเข้มแข็งของกลไกและการดำเนินงานกองทุนแม่ของแผ่นดิน การเสริมสร้างเครือข่าย การจัดตั้งและส่งเสริมศูนย์การเรียนรู้ และการควบคุมและแก้ไขปัญหายาเสพติดในหมู่บ้าน/ชุมชนกองทุนแม่ของแผ่นดิน โดยเมื่อเปรียบเทียบกับปี 2560 การเข้าไปดำเนินการในหมู่บ้าน/ชุมชนลดลงร้อยละ 5.50 ส่งผลให้ต้นทุนรวมและต้นทุนต่อหน่วยลดลงเช่นเดียวกัน</t>
  </si>
  <si>
    <t>ปีงบประมาณ 2561 ต้นทุนคงที่เพิ่มขึ้น ร้อยละ 89.91 เมื่อเปรียบเทียบกับปีงบประมาณ 2560 เนื่องจาก ปีงบประมาณ 2561 มีค่าเสื่อมราคาและค่าตัดจำหน่ายเพิ่มขึ้น ส่วนต้นทุนผันแปรเพิ่มขึ้น ร้อยละ 269.72 เนื่องจากในปี 2561 มีค่าใช้จ่ายที่เป็นต้นทุนผันแปรเพิ่มขึ้น ได้แก่ ค่าใช้จ่ายในการฝึกอบรม ค่าตอบแทนใช้สอยวัสดุและค่าสาธารณูปโภค และค่าใช้จ่ายอื่นๆ เพิ่มขึ้น ส่งผลให้ต้นทุนรวมเพิ่มขึ้น ร้อยละ 229.56</t>
  </si>
  <si>
    <t>ปีงบประมาณ 2561 สำนักงาน ปปส.ภาค 2 มีต้นทุนคงที่ลดลงร้อยละ 5.18 เมื่อเปรียบเทียบกับปีงบประมาณ 2560 พบว่า ปีงบประมาณ 2561 ค่าเสื่อมราคาและค่าตัดจำหน่ายลดลง ส่วนต้นทุนผันแปรเพิ่มขึ้นร้อยละ 103.77 เนื่องจาก มีค่าใช้จ่ายเดินทาง และค่าใช้จ่ายอื่นเพิ่มขึ้น ส่งผลให้ต้นทุนรวมของศูนย์ต้นทุนหลัก สำนักงาน ปปส.ภาค 2 เพิ่มขึ้นร้อยละ 74.25</t>
  </si>
  <si>
    <t>ปีงบประมาณ 2561 ต้นทุนคงที่เพิ่มขึ้น ร้อยละ 6.44 เมื่อเปรียบเทียบกับปีงบประมาณ 2560 เนื่องจาก ปีงบประมาณ 2561 มีค่าใช้จ่ายบุคลากร ค่าเสื่อมราคาและค่าตัดจำหน่ายเพิ่มขึ้น ส่วนต้นทุนผันแปรเพิ่มขึ้นร้อยละ 253.70 เนื่องจากในปี 2561 มีค่าใช้จ่ายที่เป็นต้นทุนผันแปรเพิ่มขึ้น ได้แก่ ค่าใช้จ่ายในการฝึกอบรม ค่าตอบแทนใช้สอยวัสดุและค่าสาธารณูปโภค และค่าใช้จ่ายอื่นๆ เพิ่มขึ้น ส่งผลให้ต้นทุนรวมเพิ่มขึ้น ร้อยละ 174.53</t>
  </si>
  <si>
    <t>ปีงบประมาณ 2561 ต้นทุนผันแปรเพิ่มขึ้น ร้อยละ 336.82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ค่าใช้จ่ายในการฝึกอบรม ค่าใช้จ่ายเดินทาง ค่าตอบแทนใช้สอยวัสดุและค่าสาธารณูปโภค และค่าใช้จ่ายอื่นๆ เพิ่มขึ้น ส่งผลให้ต้นทุนรวมเพิ่มขึ้น ร้อยละ 226.39</t>
  </si>
  <si>
    <t>ปีงบประมาณ 2561 ต้นทุนผันแปรเพิ่มขึ้น ร้อยละ 107.55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ค่าใช้จ่ายในการฝึกอบรม ค่าใช้จ่ายเดินทาง และค่าใช้จ่ายอื่นๆ เพิ่มขึ้น ส่งผลให้ต้นทุนรวมเพิ่มขึ้น ร้อยละ 81.17</t>
  </si>
  <si>
    <t>ปีงบประมาณ 2561 ต้นทุนผันแปรเพิ่มขึ้น ร้อยละ 190.98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ค่าใช้จ่ายในการฝึกอบรม ค่าตอบแทนใช้สอยวัสดุและค่าสาธารณูปโภค และค่าใช้จ่ายอื่นๆ เพิ่มขึ้น ส่งผลให้ต้นทุนรวมเพิ่มขึ้น ร้อยละ 124.10</t>
  </si>
  <si>
    <t>ปีงบประมาณ 2561 ต้นทุนผันแปรเพิ่มขึ้น ร้อยละ 190.42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ค่าใช้จ่ายในการฝึกอบรม  และค่าใช้จ่ายอื่นๆ เพิ่มขึ้น ส่งผลให้ต้นทุนรวมเพิ่มขึ้น ร้อยละ 158.28</t>
  </si>
  <si>
    <t>ปีงบประมาณ 2561 ต้นทุนผันแปรเพิ่มขึ้น ร้อยละ 203.70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ค่าใช้จ่ายอื่นๆ เพิ่มขึ้น ส่งผลให้ต้นทุนรวมเพิ่มขึ้น ร้อยละ 128.93</t>
  </si>
  <si>
    <t>ปีงบประมาณ 2561 ต้นทุนผันแปรเพิ่มขึ้น ร้อยละ 142.44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ค่าใช้จ่ายอื่นๆ เพิ่มขึ้น ส่งผลให้ต้นทุนรวมเพิ่มขึ้น ร้อยละ 117</t>
  </si>
  <si>
    <t>ปีงบประมาณ 2561 ต้นทุนผันแปรลดลง ร้อยละ 49.36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ค่าใช้จ่ายเดินทาง ค่าตอบแทนใช้สอย วัสดุ และค่าสาธารณูปโภค และค่าใช้จ่ายเงินอุดหนุนลดลง ส่งผลให้ต้นทุนรวมลดลง ร้อยละ 34.78</t>
  </si>
  <si>
    <t>ปีงบประมาณ 2561 ต้นทุนผันแปรลดลง ร้อยละ 81.79 เมื่อเปรียบเทียบกับปีงบประมาณ 2560 เนื่องจาก ปีงบประมาณ 2561 มีค่าใช้จ่ายที่เป็นต้นทุนผันแปรลดลง ได้แก่ ค่าใช้จ่ายเดินทาง ค่าตอบแทนใช้สอย วัสดุและค่าสาธารณูปโภค ค่าใช้จ่ายเงินอุดหนุน และค่าใช้จ่ายอื่น แต่ค่าใช้จ่ายฝึกอบรมเพิ่มขึ้น แต่เพิ่มขึ้นในอัตราส่วนที่น้อยกว่า ส่งผลให้ต้นทุนรวมลดลง ร้อยละ 81.45</t>
  </si>
  <si>
    <t>ปีงบประมาณ 2561 ต้นทุนผันแปรเพิ่มขึ้น ร้อยละ 69.81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ค่าใช้จ่ายเงินอุดหนุน แต่ค่าใช้จ่ายฝึกอบรม ค่าใช้จ่ายเดินทาง ค่าตอบแทนใช้สอย วัสดุและค่าสาธารณูปโภค และค่าใช้จ่ายอื่นๆ ลดลง ในอัตราส่วนที่น้อยกว่า ส่งผลให้ต้นทุนรวมเพิ่มขึ้น ร้อยละ 69.38</t>
  </si>
  <si>
    <t>ปีงบประมาณ 2561 ต้นทุนผันแปรลดลง ร้อยละ 201.61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ค่าตอบแทนใช้สอย วัสดุและค่าสาธารณูปโภค ค่าใช้จ่ายเงินอุดหนุน และค่าใช้จ่ายอื่น แต่ค่าใช้จ่ายฝึกอบรม และค่าใช้จ่ายเดินทางลดลง แต่ลดลงในอัตราส่วนที่น้อยกว่า ส่งผลให้ต้นทุนรวมเพิ่มขึ้น ร้อยละ 163.61</t>
  </si>
  <si>
    <t>ปีงบประมาณ 2561 ต้นทุนผันแปรเพิ่มขึ้น ร้อยละ 79.86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ค่าใช้จ่ายเงินอุดหนุน ในขณะที่ค่าใช้จ่ายฝึกอบรม ค่าใช้จ่ายเดินทาง ค่าตอบแทนใช้สอย วัสดุและค่าสาธารณูปโภคลดลง แต่ลดลงในอัตราส่วนที่น้อยกว่า ส่งผลให้ต้นทุนรวมเพิ่มขึ้น ร้อยละ 73.75</t>
  </si>
  <si>
    <t>ปีงบประมาณ 2561 ต้นทุนผันแปรเพิ่มขึ้น ร้อยละ 104.59 เมื่อเปรียบเทียบกับปีงบประมาณ 2560 เนื่องจาก ปีงบประมาณ 2561 มีค่าใช้จ่ายที่เป็นต้นทุนผันแปรเพิ่มขึ้น ได้แก่ ค่าใช้จ่ายอื่น ในขณะเดียวกันค่าใช้จ่ายฝึกอบรม ค่าใช้จ่ายเดินทาง ค่าตอบแทนใช้สอย วัสดุและค่าสาธารณูปโภคลดลง แต่ลดลงในอัตราส่วนที่น้อยกว่า ส่งผลให้ต้นทุนรวมลดลง ร้อยละ 78.73</t>
  </si>
  <si>
    <t>การวิเคราะห์สาเหตุของการเปลี่ยนแปลงของศูนย์ต้นทุน (อธิบายเฉพาะศูนย์ต้นทุนหลัก/ศูนย์ต้นทุนสนับสนุนที่เปลี่ยนแปลงอย่างมีสาระสำคัญ)</t>
  </si>
  <si>
    <t>ปีงบประมาณ 2561 ต้นทุนรวมเพิ่มขึ้นจากปี 2560 ร้อยละ 139.86 เนื่องจากในปี 2560 เป็นการอำนวยการขับเคลื่อนนโยบายการบำบัดรักษาตามแนวทางการถ่ายโอนภารกิจให้กับกระทรวงสาธารณสุข แต่การดำเนินงานในปี 2561 เป็นการประชุมคณะอนุกรรมการด้านการแก้ไขปัญหายาเสพติด และการประชุมเชิงปฏิบัติการแนวทางการขับเคลื่อนงานการบำบัดรักษาผู้เสพผู้ติดให้กับผู้ปฏิบัติในระดับพื้นที่ให้มีความเข้าใจเกี่ยวกับกระบวนการบำบัดรักษาผู้เสพผู้ติดยาเสพติด ซึ่งมีการประชุมอนุกรรมการฯ และชี้แจง จำนวน 3 ครั้ง ส่งผลให้ต้นทุนต่อหน่วยผลผลิตสูงขึ้นร้อยละ 679.54</t>
  </si>
  <si>
    <t>ปีงบประมาณ 2561 ต้นทุนรวมเพิ่มขึ้นจากปี 2560 ร้อยละ 379.32 เนื่องจากปี 2560 เป็นการประชุมร่วมกับหน่วยงานที่เกี่ยวข้องเพื่อพัฒนาแนวทางการบำบัดรักษา แต่ในปี 2561 เป็นค่าใช้จ่ายโครงการอบรมเพิ่มประสิทธิภาพบุคคลากรในการดำเนินการบำบัดฟื้นฟูผู้เสพผู้ติดยาเสพติดเพื่อแลกเปลี่ยนประสบการณ์และเสริมสร้างองค์ความรู้ในการทำงานร่วมกันของเจ้าหน้าที่ศูนย์ปรับเปลี่ยนพฤติกรรมให้กับเจ้าหน้าที่ในพื้นที่เพื่อให้การปฏิบัติงานด้านการบำบัดรักษามีประสิทธิภาพ ส่งผลให้ต้นทุนต่อหน่วยเพิ่มสูงขึ้นร้อยละ 379.32</t>
  </si>
  <si>
    <t>ร้อยละ</t>
  </si>
  <si>
    <t>ปีงบประมาณ 2561 โครงการความร่วมมือในกรอบอาเซียน-นาโคร์ ใช้งบประมาณต้นทุนรวมเพิ่มขึ้นร้อยละ 34.23 เพื่อดำเนินโครงการความร่วมมือในกรอบอาเซียนและอาเซียน-นาโคร์ ทั้งในประเทศและนอกประเทศ ส่งผลให้ต้นทุนต่อหน่วยลดลงร้อยละ 71.36</t>
  </si>
  <si>
    <t>ปีงบประมาณ 2561 โครงการกำกับติดตาม ประเมินผลการดำเนินงาน ต้นทุนรวมเพิ่มขึ้นร้อยละ 43.05 โดยใช้การกำกับติดตามโดยคณะอนุกรรมการกำกับติดตามผลการดำเนินงานป้องกันและแก้ไขปัญหายาเสพติด (ภาพรวม) การกักบติดตามโดยผู้ตรวจราชการกระทรวง/กรม การกำกับติดตามโดยคณะกรรมการกำกับติดตามผลการดำเนินงานระดับจังหวัด ซึ่งต้องใช้ทรัพยากรเพิ่มขึ้นร้อยละ 43.05 แต่จำนวนครั้งของการกำกับติดตามลดลง ส่งผลให้ต้นทุนต่อหน่วยเพิ่มขึ้นร้อยละ 14.045</t>
  </si>
  <si>
    <t>ปีงบประมาณ 2561 โครงการพัฒนาเทคโนโลยีสารสนเทศรองรับข้อมูลยาเสพติด ต้นทุนรวมเพิ่มขึ้นร้อยละ 69.39 แต่ปริมาณลดลงร้อยละ 75 ส่งผลให้ต้นทุนต่อหน่วยเพิ่มขึ้นร้อยละ 577.56</t>
  </si>
  <si>
    <t>งานสารบรรณ ปีงบประมาณ 2561 ใช้งบประมาณต้นทุนลดลงร้อยละ 58.60 ปริมาณงานลดลงเช่วยเดียวกัน ส่งผลให้ต้นทุนต่อหน่วยลดลงร้อยละ 56.03</t>
  </si>
  <si>
    <t>งานอาคารและสถานที่ ปีงบประมาณ 2561 ใช้งบประมาณต้นทุนรวมลดลงร้อยละ 91.95 เนื่องจาก ค่าใช้จ่ายที่เป็นเงินนอกงบประมาณ เงินในงบประมาณ งบกลาง ค่าเสื่อมราคาลดลง ส่งผลให้ต้นทุนต่อหน่วยลดลงร้อยละ91.95</t>
  </si>
  <si>
    <t>งานวินัยและความรับผิดชอบทางละเมิด ปีงบประมาณ 2561 มีการดำเนินการทางวินัยและความผิดชอบทางละเมิดกับเจ้าหน้าที่ 4 ราย ลดลงจากปี 2560 ร้อยละ 66.67 แต่ใช้งบประมาณต้นทุนรวมเพิ่มขึ้นร้อยละ 106.33 ส่งผลให้ต้นทุนต่อหน่วยเพิ่มขึ้นร้อยละ 519</t>
  </si>
  <si>
    <t xml:space="preserve">ปีงบประมาณ 2561 ต้นทุนรวมลดลงจากปี 2560 ร้อยละ 72.84 เนื่องจากการสร้างภูมิคุ้มกันในเด็กปฐมวัยได้พัฒนาสื่อการเรียนรู้เพื่อสร้างภูมิคุ้มกันในเด็กปฐมวัยมาตั้งแต่ปี 2558 โดยผลิตสื่อการเรียนรู้ (นิทานอ่านอุ่นรัก) ปี 2559 มีการผลิตสื่อการเรียนรู้ (ชุดเล่นล้อมรัก) ในการสร้างภูมิคุ้มกันให้กับกลุ่มเด็กปฐมวัย สำหรับปี 2560 และปี 2561 เน้นการใช้สื่อทั้งสื่อการเรียนรู้ (นิทานอ่านอุ่นรัก) และสื่อการเรียนรู้ (ชุดเล่นล้อมรัก) ให้ครอบคลุมในโรงเรียนอนุบาลและศูนย์พัฒนาเด็กเล็กทั่วประเทศ โดยมีแนวทางให้หน่วยงานที่เกี่ยวข้องบูรณาการประยุกต์ใช้องค์ความรู้ในการพัฒนาทักษะสมองเพื่อการบริหารจัดการชีวิต (Brain Executive Function : EF) ทั้งในด้านการจัดการเรียนการสอนในโรงเรียนอนุบาลและศูนย์พัฒนาเด็กเล็ก ด้านการแก้ไขพฤติกรรมเบี่ยงเบนต่าง ๆ เช่น เหล้า บุหรี่ การทุจริต และส่งเสริมให้เข้ามามีส่วนร่วมเพื่อให้เกิดการพัฒนาคุณภาพชีวิตแบบองค์รวมในชุมชน </t>
  </si>
  <si>
    <t>ปีงบประมาณ 2561 ต้นทุนรวมเพิ่มขึ้นจากปี 2560 ร้อยละ 681.57 ในขณะที่ผลการดำเนินงาน (ปริมาณลดลด) ร้อยละ 5.50 เนื่องจากเป็นค่าใช้จ่ายในการรณรงค์ประชาสัมพันธ์ให้เข้าถึงประชาชน โดยใช้ช่องทางสื่อสารมวลชนทุกรูปแบบเพื่อสร้างการรับรู้ของกลุ่มเป้าหมาย เน้นการให้ความคิด ให้ความรู้ความเข้าใจต่ออันตราย ผลกระทบจากปัญหายาเสพติด การป้องกันยาเสพติดในชุมชนรวมถึงการส่งเสริมให้องค์กรทางศาสนาทั้งศาสนาพุทธ และศาสนาอื่นๆ เป็นกลไกลในการสร้างภูมิคุ้มกันยาเสพติดให้แก่ประชาชน</t>
  </si>
  <si>
    <t xml:space="preserve">ปีงบประมาณ 2561 ต้นทุนรวมลดลงจากปี 2560 ร้อยละ 94.04 ผลการดำเนินงานเพิ่มขึ้นเล็กน้อย โดยกรมการพัฒนาชุมชน กรมส่งเสริมการปกครองท้องถิ่น กรุงเทพมหานคร องค์กรปกครองส่วนท้องถิ่น และกองอำนวยการรักษาความมั่นคงภายในราชอาณาจักร (กอ.รมน.) บูรณาการงานขยายหมู่บ้าน/ชุมชนกองทุนแม่ของแผ่นดินในพื้นที่ชนบท ชายแดนและพื้นที่เขตเมืองที่อยู่ในความรับผิด รวม 1,048 แห่ง โดยจะเน้นการเสริมสร้างเครือข่ายหมู่บ้านกองทุนแม่ของแผ่นดิน การซ่อมเสริมและพัฒนาหมู่บ้าน/ชุมชนกองทุนแม่ของแผ่นดิน เพื่อยกระดับให้มีความเข้มแข็งยิ่งขึ้น </t>
  </si>
  <si>
    <t>ปีงบประมาณ 2561 โครงการปราบปรามยาเสพติดในเรือนจำ ต้นทุนรวมเพิ่มขึ้น 779.90 ต้นทุนต่อหน่วยเพิ่มขึ้นร้อยละ 786.10 เนื่องจาก  มาตรการเข้มงวดกวดขันการกระทำความผิดในเรือนจำและทัณฑสถานทุกแห่งตามโครงการ "เรือนจำปลอดยาเสพติด" ด้วยการจู่โจมตรวจค้น การตรวจปัสสาวะ การป้องปราม การดำเนินการกับเจ้าหน้าที่รัฐที่ปล่อยปละละเลยหรือเข้าไปมีส่วนเกี่ยวข้อง รวมถึงการจัดหาอุปกรณ์ทางเทคโนโลยีที่ทันสมัย เพื่อพัฒนาประสิทธิภาพการดำเนินงานของเรือนจำ ส่งผลให้ทั้งต้นทุนรวมและต้นทุนต่อหน่วยเพิ่มสูงขึ้น</t>
  </si>
  <si>
    <t>ปีงบประมาณ 2561 โครงการควบคุมสารตั้งต้นและเคมีภัณฑ์ ต้นทุนรวมเพิ่มขึ้น 158.30 เนื่องจากปี 2561 มีการเข้มงวดในการควบคุมตรวจสอบการนำเข้าสารตั้งต้นเคมีภัณฑ์ การรับรองเกี่ยวกับสารตั้งต้นที่มีการนำเข้า การออกใบอนุญาตสถานประกอบการที่ใช้สารตั้งต้น โดยการประสานงานกับหน่วยงานที่เกี่ยวข้อง จำนวน 18 ครั้ง ซึ่งมากกว่าปี 2560 ส่งผลให้ต้นทุนต่อหน่วยลดลงร้อยละ 71.30</t>
  </si>
  <si>
    <t>ปีงบประมาณ 2561 โครงการอำนวยการด้านการข่าวและเทคโนโลยีสืบสวนเป็นการบูรณาการงานการข่าวร่วมกับหน่วยงานที่เกี่ยวข้องกับการปราบปรามยาเสพติด เพื่อรวบรวมข้อมูลข่าวสารภายนอกประเทศและภายในประเทศ จัดระบบข้อมูลข่าวสารยาเสพติด ให้ทุกหน่วยงานที่เกี่ยวข้องสามารถบูรณาการข้อมูลและใช้ประโยชน์ร่วมกันได้อย่างมีประสิทธิภาพ รวมถึงการพัฒนาเทคโนโลยีที่ทันสมัยเพื่อสนับสนุนงานข่าวกรองยาเสพติด โดยปี 2561 มีการบูรณาการร่วมกับหน่วยงานที่เกี่ยวข้องเพิ่มขึ้นจากปี 2560 ร้อยละ 425 ทำให้มีต้นทุนรวมเพิ่มขึ้นร้อยละ 154.11 ต้นทุนต่อหน่วยลดลงร้อยละ 51.60</t>
  </si>
  <si>
    <t>ปีงบประมาณ 2561 การสร้างภูมิคุ้มกันเด็กและเยาวชนในสถานศึกษาครอบคลุมเด็กและเยาวชนทั้งระดับประถมศึกษา ที่มุ่งเน้นการสร้างภูมิคุ้มกันโดยการเสริมสร้างทักษะชีวิตควบคู่กับการส่งเสริมคุณธรรมจริยธรรม ระดับมัธยมศึกษา มุ่งสอดแทรกการเสริมทักษะชีวิตไว้ในกิจกรรมการเรียนการสอนในหลักสูตร และระดับอาชีวศึกษาและอุดมศึกษา มุ่งเน้นกิจกรรมที่สามารถนำความรู้และทักษาอาชีพเพื่อสร้างคุณค่าให้แก่ตนเอง ชุมชน และสังคม เพื่อลดโอกาสการเข้าไปเกี่ยวข้องกับยาเสพติด โดยมีการอำนวยการขับเคลี่อนการสร้างภูมิคุ้มกันเด้กและเยาวชนในสถานศึกษาปี 2561 จำนวน 2  ครั้ง เพิ่มขึ้นจากปี 2560 ส่งผลให้ต้นทุนต่อหน่วยเพิ่มขึ้น</t>
  </si>
  <si>
    <t>โครงการพัฒนาบุคลาการด้านยาเสพติด</t>
  </si>
  <si>
    <t xml:space="preserve">โครงการพัฒนาบุคลาการด้านยาเสพติด ปีงบประมาณ 2561 สำนักงาน ป.ป.ส. ดำเนินการพัฒนาบุคลากรผู้ปฏิบัติงานด้านการป้องกันและแก้ไขปัญหายาเสพติด ทั้งของสำนักงาน ป.ป.ส. และหน่วยงานภาคีต่าง ๆ ภายในประเทศ เพื่อเสริมสมรรถนะของบุคลากรให้สามารถปฏิบัติงานรองรับยุทธศาสตร์การป้องกันและแก้ไขปัญหายาเสพติด รวมถึงพัฒนาบุคลากรของกลุ่มประเทศอาเซียนและประเทศต่าง ๆ ตามข้อตกลง/สนธิสัญญาระหว่างประเทศ โดยได้ดำเนินการจัดโครงการฝึกอบรมหลักสูตรต่าง ๆ ทั้งด้านปราบปรามยาเสพติด ด้านป้องกันยาเสพติด และบำบัดฟื้นฟูผู้รักษายาเสพติด รวม 322 โครงการ มีผู้เข้ารับการอบรม 47,594 คน ซึ่งปริมาณเพิ่มขึ้นจากปี 2560 ร้อยละ 364.29 ส่งผลให้ต้นทุนต่อหน่วยลดลงร้อยละ 77.43
</t>
  </si>
  <si>
    <t>ปีงบประมาณ 2561 การพัฒนา/ปรับปรุงบำรุงรักษาระบบเครือข่าย (LAN/WAN/Website) ต้นทุนรวมลดลงร้อยละ 83.19 เนื่องจากจำนวนครั้ง (ปริมาณ) ของการบำรุงรักษาเพิ่มขึ้นร้อยละ 1016.67 ส่งผลให้ต้นทุนต่อหน่วยลดลงร้อยละ 98.49</t>
  </si>
  <si>
    <t xml:space="preserve"> การติดตาม ดูแล ช่วยเหลือผู้ผ่านการบำบัดยาเสพติด</t>
  </si>
  <si>
    <t>เป้าหมายแผนงานติดตามผู้ผ่านการบำบัดรักษา คือ การติดตามผู้ผ่านการบำบัดฟื้นฟูในปีงบประมาณ 2560 ทุกระบบที่ยังติดตามไม่ครบตามเกณฑ์ที่กำหนด และผู้ผ่านการบำบัดรักษาในปี 2561 ทุกระบบที่เข้ารับการบำบัดฟื้นฟูจนครบกระบวนการ โดยการติดตามดูแลช่วยเหลือตามกระบวนการขั้นตอนปกติของกระทรวงสาธารณสุข คือ 1) กลุ่มผู้ใช้ยาเสพติดให้ติดตามอย่างน้อย 1 ครั้งภายใน 30 วัน 2) กลุ่มผู้เสพและกลุ่มผู้ติดยาเสพติดให้ติดตามและสุ่มตรวจปัสสาวะ 4-7 ครั้งใน 1 ปี 3) กลุ่มที่มีภาวะฉุกเฉิน มีอาการก้าวร้าวจากสารกลุ่มแอมเฟตามีน ฝิ่น เฮโรอีน ให้ติดตามและสุ่มตรวจปัสสาวะ 4-7 ครั้ง/ปี โดยเมื่อเปรียบเทียบกับปี 2560 พบว่า ปี 2561 มีผู้ผ่านการบำบัดรักษาและได้รับการติดตามเพิ่มขึ้นร้อยละ 4.39 ต้นทุนรวมลดลงร้อยละ 39.44 ต้นทุนต่อหน่วยลดลงร้อยละ 41.99</t>
  </si>
  <si>
    <t>การวิเคราะห์สาเหตุของการเปลี่ยนแปลงของต้นทุนต่อหน่วยกิจกรรมหลัก  (อธิบายเฉพาะต้นทุนต่อหน่วยกิจกรรมหลักที่เปลี่ยนแปลงอย่างมีสาระสำคัญ)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</si>
  <si>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(อธิบายเฉพาะต้นทุนต่อหน่วยผลผลิตหลักที่เปลี่ยนแปลงอย่างมีสาระสำคัญ)</t>
  </si>
  <si>
    <t>การวิเคราะห์สาเหตุของการเปลี่ยนแปลงของต้นทุนคงที่/ผันแปร  (อธิบายเฉพาะต้นทุนคงที่/ผันแปรที่เปลี่ยนแปลงอย่างมีสาระสำคัญ)</t>
  </si>
  <si>
    <t>ต้นทุนคงที่/ผันแปร</t>
  </si>
  <si>
    <t xml:space="preserve">ในปีงบประมาณ 2561 ต้นทุนคงที่ของค่าใช้จ่ายบุคลากรเพิ่มขึ้น ร้อยละ 22.76 ในขณะที่ต้นทุนคงที่ที่เป็นค่าเสื่อมราคาและค่าตัดจำหน่ายลดลง ร้อยละ 3.84 และต้นทุนผันแปรที่เป็นค่าตอบแทนใช้สอยลดลงร้อยละ 97.80 </t>
  </si>
  <si>
    <r>
      <rPr>
        <b/>
        <u/>
        <sz val="14"/>
        <color indexed="8"/>
        <rFont val="TH SarabunPSK"/>
        <family val="2"/>
      </rPr>
      <t>ตารางที่ 2</t>
    </r>
    <r>
      <rPr>
        <b/>
        <sz val="14"/>
        <color indexed="8"/>
        <rFont val="TH SarabunPSK"/>
        <family val="2"/>
      </rPr>
      <t xml:space="preserve"> รายงานต้นทุนตามศูนย์ต้นทุนแยกประเภทค่าใช้จ่าย</t>
    </r>
  </si>
  <si>
    <t>2. การสร้างภูมิคุ้มกันเด็กและเยาวชนในสถานศึกษา</t>
  </si>
  <si>
    <t>3. สร้างภูมิคุ้มกันเด็กและเยาวชนนอกสถานศึกษา</t>
  </si>
  <si>
    <t>4. การสร้างเครือข่ายเด็กและเยาวชนเพื่อป้องกันยาเสพติด</t>
  </si>
  <si>
    <t>5. การสร้างภูมิคุ้มกันในกลุ่มแรงงานและสถานประกอบการ</t>
  </si>
  <si>
    <t>6. การสร้างภูมิคุ้มกันในกลุ่มประชาชน</t>
  </si>
  <si>
    <t>7. เสริมสร้างหมู่บ้าน/ชุมชนเข้มแข็งเอาชนะยาเสพติด</t>
  </si>
  <si>
    <t>8. กองทุนแม่ของแผ่นดิน</t>
  </si>
  <si>
    <t>9. การพัฒนาทางเลือก</t>
  </si>
  <si>
    <t>10. การค้นหา/คัดกรองผู้เสพเข้าสู่กระบวนการบำบัดฟื้นฟูยาเสพติด</t>
  </si>
  <si>
    <t>11. การบำบัดรักษาผู้เสพผู้ติดยาเสพติด</t>
  </si>
  <si>
    <t>12. การพัฒนามาตราการบำบัดรักษาทางเลือก</t>
  </si>
  <si>
    <t>13. การติดตาม/ช่วยเหลือผู้ผ่านกระบวนการบำบัดรักษา</t>
  </si>
  <si>
    <t>14. การพัฒนาข้อมูลด้านการบำบัดรักษา</t>
  </si>
  <si>
    <t>15. การสกัดกั้นยาเสพติด</t>
  </si>
  <si>
    <t>16. การปราบปรามยาเสพติด</t>
  </si>
  <si>
    <t>17. การตรวจสอบทรัพย์สินคดียาเสพติด</t>
  </si>
  <si>
    <t>18. การตรวจพิสูจน์ยาเสพติด</t>
  </si>
  <si>
    <t>19. การควบคุมพืชเสพติด</t>
  </si>
  <si>
    <t>20. การประสานความร่วมมือระหว่างประเทศ</t>
  </si>
  <si>
    <t>21. การยกระดับความร่วมมือกับกลุ่มประเทศสมาชิกอาเซียนในการแก้ไขปัญหายาเสพติด</t>
  </si>
  <si>
    <t>22. ความร่วมมือระหว่างประเทศด้านความช่วยเหลือ</t>
  </si>
  <si>
    <t>23. ความร่วมมือระหว่างประเทศด้านการพัฒนาทางเลือก</t>
  </si>
  <si>
    <t>24. แผนปฏิบัติการพื้นที่สามเหลี่ยมทองคำ</t>
  </si>
  <si>
    <t>25. การบริหารจัดการเชิงยุทธศาสตร์</t>
  </si>
  <si>
    <t>26. การบริหารจัดการทั่วไป</t>
  </si>
  <si>
    <t>27. การบริหารจัดการ</t>
  </si>
  <si>
    <r>
      <t>ตารางที่ 5</t>
    </r>
    <r>
      <rPr>
        <b/>
        <sz val="16"/>
        <rFont val="TH SarabunPSK"/>
        <family val="2"/>
      </rPr>
      <t xml:space="preserve">  รายงานต้นทุนกิจกรรมหลักแยกตามแหล่งเงิน</t>
    </r>
  </si>
  <si>
    <r>
      <t>ตารางที่ 7</t>
    </r>
    <r>
      <rPr>
        <b/>
        <sz val="16"/>
        <rFont val="TH SarabunPSK"/>
        <family val="2"/>
      </rPr>
      <t xml:space="preserve">  เปรียบเทียบผลการคำนวณต้นทุนกิจกรรมย่อยแยกตามแหล่งเงิน (ต่อ)</t>
    </r>
  </si>
  <si>
    <t>การพัฒนา/ปรับปรุงบำรุงรักษาระบบเครือข่าย (LAN/WAN)/Website</t>
  </si>
  <si>
    <r>
      <rPr>
        <b/>
        <u/>
        <sz val="14"/>
        <color indexed="8"/>
        <rFont val="TH SarabunPSK"/>
        <family val="2"/>
      </rPr>
      <t>ตารางที่ 8</t>
    </r>
    <r>
      <rPr>
        <b/>
        <sz val="14"/>
        <color indexed="8"/>
        <rFont val="TH SarabunPSK"/>
        <family val="2"/>
      </rPr>
      <t xml:space="preserve"> เปรียบเทียบผลการคำนวณต้นทุนผลผลิตย่อยแยกตามแหล่งเงิน (ต่อ)</t>
    </r>
  </si>
  <si>
    <t xml:space="preserve"> ตารางที่ 9  เปรียบเทียบผลการคำนวณต้นทุนผลผลิตย่อยแยกตามแหล่งเงิน (ต่ฮ)</t>
  </si>
  <si>
    <t>ปี 2561 การดำเนินงานด้านการปราบปรามยาเสพติด มุ่งเน้นปราบปราม ทำลายศักยภาพกลุ่ม/เครือข่ายการค้ายาเสพติดรายสำคัญ ปราบปรามนักค้ายาเสพติดในพื้นที่แพร่ระบาด เพื่อดำเนินการต่อกลุ่มผู้เกี่ยวข้องในหมู่บ้าน/ชุมชน มิให้เข้าไปเกี่ยวข้องกับยาเสพติด การดำเนินการต่อข้อร้องเรียนของประชาชน การควบคุมตัวยา เคมีภัณฑ์ และสารตั้งต้นที่ไปใช้ผลิตยาเสพติด รวมถึงการดำเนินการต่อนักค้า  ยาเสพติดในเรือนจำและการดำเนินการกับเจ้าหน้าที่ของรัฐที่มีพฤติการณ์เข้าไปเกี่ยวข้องกับยาเสพติด โดยเมื่อเปรียบเทียบกับปี 2560 ผลการจับกุมผู้เกี่ยวข้องกับยาเสพติด ปี 2561 เพิ่มขึ้นร้อยละ 27.13 ใช้งบประมาณเพิ่มขึ้นร้อยละ 35.61 ต้นทุนต่อหน่วยเพิ่มขึ้นร้อยละ 6.67</t>
  </si>
  <si>
    <t>ตารางที่ 11 รายงานเปรียบเทียบต้นทุนทางตรงตามศูนย์ต้นทุนแยกตามประเภทค่าใช้จ่าย และลักษณะของต้นทุน (คงที่/ผันแปร)</t>
  </si>
  <si>
    <t>ตารางที่ 12  รายงานเปรียบเทียบต้นทุนทางอ้อมตามลักษณะของต้นทุน (คงที่/ผันแปร)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</si>
</sst>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0.00_);\(0.00\)"/>
  </numFmts>
  <fonts count="52" x14ac:knownFonts="1">
    <font>
      <sz val="10"/>
      <color indexed="8"/>
      <name val="Tahoma"/>
      <charset val="22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 val="singleAccounting"/>
      <sz val="16"/>
      <color indexed="8"/>
      <name val="TH SarabunPSK"/>
      <family val="2"/>
    </font>
    <font>
      <sz val="16"/>
      <name val="TH SarabunPSK"/>
      <family val="2"/>
    </font>
    <font>
      <u val="singleAccounting"/>
      <sz val="16"/>
      <name val="TH SarabunPSK"/>
      <family val="2"/>
    </font>
    <font>
      <b/>
      <sz val="16"/>
      <name val="TH SarabunPSK"/>
      <family val="2"/>
    </font>
    <font>
      <u val="singleAccounting"/>
      <sz val="16"/>
      <color indexed="8"/>
      <name val="TH SarabunPSK"/>
      <family val="2"/>
    </font>
    <font>
      <b/>
      <u val="double"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2"/>
      <color indexed="8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0"/>
      <name val="Arial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0"/>
      <color indexed="8"/>
      <name val="TH SarabunPSK"/>
      <family val="2"/>
    </font>
    <font>
      <b/>
      <u/>
      <sz val="14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b/>
      <sz val="11"/>
      <color indexed="8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rgb="FFFF0000"/>
      <name val="TH SarabunPSK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</cellStyleXfs>
  <cellXfs count="653">
    <xf numFmtId="0" fontId="0" fillId="0" borderId="0" xfId="0"/>
    <xf numFmtId="0" fontId="3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/>
    <xf numFmtId="4" fontId="3" fillId="3" borderId="1" xfId="0" applyNumberFormat="1" applyFont="1" applyFill="1" applyBorder="1"/>
    <xf numFmtId="4" fontId="3" fillId="3" borderId="0" xfId="0" applyNumberFormat="1" applyFont="1" applyFill="1"/>
    <xf numFmtId="0" fontId="3" fillId="3" borderId="1" xfId="0" applyFont="1" applyFill="1" applyBorder="1" applyAlignment="1">
      <alignment horizontal="center"/>
    </xf>
    <xf numFmtId="43" fontId="2" fillId="3" borderId="0" xfId="1" applyFont="1" applyFill="1"/>
    <xf numFmtId="43" fontId="2" fillId="3" borderId="0" xfId="1" applyFont="1" applyFill="1" applyAlignment="1">
      <alignment horizontal="center"/>
    </xf>
    <xf numFmtId="43" fontId="2" fillId="3" borderId="0" xfId="1" applyFont="1" applyFill="1" applyAlignment="1">
      <alignment vertical="top"/>
    </xf>
    <xf numFmtId="43" fontId="6" fillId="3" borderId="0" xfId="1" applyFont="1" applyFill="1"/>
    <xf numFmtId="43" fontId="6" fillId="3" borderId="6" xfId="1" applyFont="1" applyFill="1" applyBorder="1" applyAlignment="1">
      <alignment horizontal="center" wrapText="1"/>
    </xf>
    <xf numFmtId="43" fontId="7" fillId="3" borderId="0" xfId="1" applyFont="1" applyFill="1"/>
    <xf numFmtId="43" fontId="8" fillId="3" borderId="0" xfId="1" applyFont="1" applyFill="1" applyAlignment="1">
      <alignment horizontal="right"/>
    </xf>
    <xf numFmtId="43" fontId="2" fillId="3" borderId="6" xfId="1" applyFont="1" applyFill="1" applyBorder="1"/>
    <xf numFmtId="43" fontId="3" fillId="3" borderId="0" xfId="1" applyFont="1" applyFill="1"/>
    <xf numFmtId="43" fontId="10" fillId="3" borderId="0" xfId="1" applyFont="1" applyFill="1"/>
    <xf numFmtId="43" fontId="3" fillId="3" borderId="0" xfId="1" applyFont="1" applyFill="1" applyAlignment="1">
      <alignment horizontal="left"/>
    </xf>
    <xf numFmtId="187" fontId="2" fillId="3" borderId="0" xfId="1" applyNumberFormat="1" applyFont="1" applyFill="1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left" shrinkToFit="1"/>
    </xf>
    <xf numFmtId="0" fontId="12" fillId="0" borderId="0" xfId="0" applyFont="1"/>
    <xf numFmtId="0" fontId="12" fillId="2" borderId="1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4" xfId="0" applyFont="1" applyBorder="1"/>
    <xf numFmtId="0" fontId="12" fillId="2" borderId="11" xfId="0" applyFont="1" applyFill="1" applyBorder="1" applyAlignment="1">
      <alignment horizontal="center"/>
    </xf>
    <xf numFmtId="0" fontId="12" fillId="0" borderId="1" xfId="0" applyFont="1" applyBorder="1"/>
    <xf numFmtId="4" fontId="12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 wrapText="1"/>
    </xf>
    <xf numFmtId="0" fontId="12" fillId="2" borderId="12" xfId="0" applyFont="1" applyFill="1" applyBorder="1" applyAlignment="1">
      <alignment horizontal="center"/>
    </xf>
    <xf numFmtId="0" fontId="12" fillId="0" borderId="2" xfId="0" applyFont="1" applyBorder="1"/>
    <xf numFmtId="4" fontId="12" fillId="0" borderId="2" xfId="0" applyNumberFormat="1" applyFont="1" applyBorder="1" applyAlignment="1">
      <alignment horizontal="right" wrapText="1"/>
    </xf>
    <xf numFmtId="4" fontId="11" fillId="0" borderId="2" xfId="0" applyNumberFormat="1" applyFont="1" applyBorder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0" xfId="0" applyFont="1"/>
    <xf numFmtId="0" fontId="12" fillId="0" borderId="1" xfId="0" applyFont="1" applyBorder="1" applyAlignment="1">
      <alignment vertical="top" wrapText="1"/>
    </xf>
    <xf numFmtId="43" fontId="18" fillId="0" borderId="1" xfId="1" applyFont="1" applyBorder="1" applyAlignment="1">
      <alignment horizontal="right" vertical="top" wrapText="1"/>
    </xf>
    <xf numFmtId="43" fontId="18" fillId="0" borderId="1" xfId="1" applyFont="1" applyBorder="1" applyAlignment="1">
      <alignment vertical="top"/>
    </xf>
    <xf numFmtId="0" fontId="18" fillId="0" borderId="1" xfId="0" applyFont="1" applyBorder="1" applyAlignment="1">
      <alignment vertical="top"/>
    </xf>
    <xf numFmtId="43" fontId="18" fillId="6" borderId="1" xfId="1" applyFont="1" applyFill="1" applyBorder="1" applyAlignment="1">
      <alignment vertical="top" wrapText="1"/>
    </xf>
    <xf numFmtId="43" fontId="12" fillId="0" borderId="0" xfId="1" applyFont="1"/>
    <xf numFmtId="43" fontId="17" fillId="6" borderId="1" xfId="1" applyFont="1" applyFill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3" fillId="0" borderId="1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11" fillId="0" borderId="0" xfId="1" applyFont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/>
    <xf numFmtId="0" fontId="18" fillId="0" borderId="1" xfId="0" applyFont="1" applyBorder="1"/>
    <xf numFmtId="4" fontId="13" fillId="0" borderId="1" xfId="0" applyNumberFormat="1" applyFont="1" applyBorder="1"/>
    <xf numFmtId="0" fontId="13" fillId="0" borderId="1" xfId="0" applyFont="1" applyBorder="1"/>
    <xf numFmtId="4" fontId="22" fillId="7" borderId="1" xfId="0" applyNumberFormat="1" applyFont="1" applyFill="1" applyBorder="1" applyAlignment="1">
      <alignment horizontal="right" wrapText="1"/>
    </xf>
    <xf numFmtId="43" fontId="18" fillId="0" borderId="0" xfId="1" applyFont="1"/>
    <xf numFmtId="187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18" fillId="0" borderId="0" xfId="0" applyFont="1"/>
    <xf numFmtId="43" fontId="13" fillId="0" borderId="0" xfId="0" applyNumberFormat="1" applyFont="1"/>
    <xf numFmtId="43" fontId="13" fillId="0" borderId="0" xfId="1" applyFont="1"/>
    <xf numFmtId="187" fontId="26" fillId="0" borderId="0" xfId="3" applyFont="1"/>
    <xf numFmtId="187" fontId="25" fillId="0" borderId="0" xfId="3" applyFont="1"/>
    <xf numFmtId="3" fontId="26" fillId="0" borderId="0" xfId="2" applyNumberFormat="1" applyFont="1"/>
    <xf numFmtId="0" fontId="26" fillId="0" borderId="0" xfId="2" applyFont="1" applyAlignment="1">
      <alignment horizontal="center"/>
    </xf>
    <xf numFmtId="0" fontId="26" fillId="0" borderId="0" xfId="2" applyFont="1"/>
    <xf numFmtId="0" fontId="25" fillId="0" borderId="0" xfId="2" applyFont="1" applyAlignment="1">
      <alignment horizontal="right"/>
    </xf>
    <xf numFmtId="0" fontId="25" fillId="0" borderId="0" xfId="2" applyFont="1"/>
    <xf numFmtId="3" fontId="26" fillId="0" borderId="1" xfId="2" applyNumberFormat="1" applyFont="1" applyBorder="1" applyAlignment="1">
      <alignment horizontal="center" vertical="top" shrinkToFit="1"/>
    </xf>
    <xf numFmtId="0" fontId="26" fillId="0" borderId="1" xfId="2" applyFont="1" applyBorder="1" applyAlignment="1">
      <alignment horizontal="center" vertical="top" shrinkToFit="1"/>
    </xf>
    <xf numFmtId="43" fontId="2" fillId="0" borderId="0" xfId="1" applyFont="1" applyAlignment="1">
      <alignment horizontal="right"/>
    </xf>
    <xf numFmtId="0" fontId="27" fillId="0" borderId="0" xfId="0" applyFont="1"/>
    <xf numFmtId="43" fontId="6" fillId="0" borderId="0" xfId="1" applyFont="1"/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43" fontId="8" fillId="0" borderId="1" xfId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43" fontId="8" fillId="0" borderId="1" xfId="1" applyFont="1" applyBorder="1" applyAlignment="1">
      <alignment vertical="top"/>
    </xf>
    <xf numFmtId="0" fontId="8" fillId="0" borderId="13" xfId="0" applyFont="1" applyBorder="1" applyAlignment="1">
      <alignment horizontal="center"/>
    </xf>
    <xf numFmtId="43" fontId="8" fillId="0" borderId="13" xfId="1" applyFont="1" applyBorder="1"/>
    <xf numFmtId="3" fontId="8" fillId="0" borderId="13" xfId="0" applyNumberFormat="1" applyFont="1" applyBorder="1"/>
    <xf numFmtId="0" fontId="20" fillId="0" borderId="13" xfId="0" applyFont="1" applyBorder="1"/>
    <xf numFmtId="43" fontId="8" fillId="0" borderId="13" xfId="0" applyNumberFormat="1" applyFont="1" applyBorder="1"/>
    <xf numFmtId="187" fontId="26" fillId="0" borderId="0" xfId="2" applyNumberFormat="1" applyFont="1" applyAlignment="1">
      <alignment horizontal="center"/>
    </xf>
    <xf numFmtId="0" fontId="27" fillId="3" borderId="0" xfId="0" applyFont="1" applyFill="1"/>
    <xf numFmtId="43" fontId="12" fillId="3" borderId="0" xfId="1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43" fontId="28" fillId="3" borderId="0" xfId="1" applyFont="1" applyFill="1"/>
    <xf numFmtId="0" fontId="11" fillId="3" borderId="0" xfId="0" applyFont="1" applyFill="1"/>
    <xf numFmtId="0" fontId="1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43" fontId="29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87" fontId="14" fillId="3" borderId="1" xfId="3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/>
    </xf>
    <xf numFmtId="43" fontId="18" fillId="3" borderId="1" xfId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shrinkToFit="1"/>
    </xf>
    <xf numFmtId="0" fontId="13" fillId="3" borderId="1" xfId="0" applyFont="1" applyFill="1" applyBorder="1" applyAlignment="1">
      <alignment horizontal="left" wrapText="1"/>
    </xf>
    <xf numFmtId="43" fontId="22" fillId="3" borderId="1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187" fontId="13" fillId="3" borderId="1" xfId="0" applyNumberFormat="1" applyFont="1" applyFill="1" applyBorder="1" applyAlignment="1">
      <alignment vertical="top" shrinkToFit="1"/>
    </xf>
    <xf numFmtId="188" fontId="30" fillId="3" borderId="1" xfId="1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vertical="top" wrapText="1" shrinkToFit="1"/>
    </xf>
    <xf numFmtId="43" fontId="22" fillId="3" borderId="1" xfId="1" applyFont="1" applyFill="1" applyBorder="1" applyAlignment="1">
      <alignment horizontal="right" vertical="top" wrapText="1"/>
    </xf>
    <xf numFmtId="43" fontId="18" fillId="3" borderId="1" xfId="1" applyFont="1" applyFill="1" applyBorder="1" applyAlignment="1">
      <alignment horizontal="right" vertical="top" shrinkToFit="1"/>
    </xf>
    <xf numFmtId="43" fontId="18" fillId="3" borderId="1" xfId="1" applyFont="1" applyFill="1" applyBorder="1" applyAlignment="1">
      <alignment vertical="top" wrapText="1"/>
    </xf>
    <xf numFmtId="43" fontId="18" fillId="3" borderId="1" xfId="1" applyFont="1" applyFill="1" applyBorder="1" applyAlignment="1">
      <alignment vertical="top" shrinkToFit="1"/>
    </xf>
    <xf numFmtId="2" fontId="18" fillId="3" borderId="1" xfId="0" applyNumberFormat="1" applyFont="1" applyFill="1" applyBorder="1" applyAlignment="1">
      <alignment vertical="top" shrinkToFit="1"/>
    </xf>
    <xf numFmtId="0" fontId="13" fillId="3" borderId="1" xfId="0" applyFont="1" applyFill="1" applyBorder="1" applyAlignment="1">
      <alignment horizontal="left" vertical="top" wrapText="1"/>
    </xf>
    <xf numFmtId="43" fontId="22" fillId="3" borderId="1" xfId="1" applyFont="1" applyFill="1" applyBorder="1" applyAlignment="1">
      <alignment horizontal="center" vertical="top" wrapText="1"/>
    </xf>
    <xf numFmtId="43" fontId="18" fillId="3" borderId="1" xfId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top" shrinkToFit="1"/>
    </xf>
    <xf numFmtId="0" fontId="18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shrinkToFit="1"/>
    </xf>
    <xf numFmtId="0" fontId="32" fillId="3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 shrinkToFit="1"/>
    </xf>
    <xf numFmtId="43" fontId="22" fillId="3" borderId="1" xfId="1" applyFont="1" applyFill="1" applyBorder="1" applyAlignment="1">
      <alignment vertical="top" wrapText="1"/>
    </xf>
    <xf numFmtId="0" fontId="13" fillId="3" borderId="13" xfId="0" applyFont="1" applyFill="1" applyBorder="1" applyAlignment="1">
      <alignment horizontal="center" vertical="top" wrapText="1"/>
    </xf>
    <xf numFmtId="43" fontId="29" fillId="3" borderId="13" xfId="1" applyFont="1" applyFill="1" applyBorder="1" applyAlignment="1">
      <alignment vertical="top" wrapText="1"/>
    </xf>
    <xf numFmtId="43" fontId="13" fillId="3" borderId="13" xfId="1" applyFont="1" applyFill="1" applyBorder="1" applyAlignment="1">
      <alignment vertical="top" shrinkToFit="1"/>
    </xf>
    <xf numFmtId="43" fontId="13" fillId="3" borderId="13" xfId="1" applyFont="1" applyFill="1" applyBorder="1" applyAlignment="1">
      <alignment vertical="top" wrapText="1"/>
    </xf>
    <xf numFmtId="43" fontId="13" fillId="3" borderId="13" xfId="1" applyFont="1" applyFill="1" applyBorder="1" applyAlignment="1">
      <alignment horizontal="center" vertical="top" wrapText="1"/>
    </xf>
    <xf numFmtId="43" fontId="18" fillId="3" borderId="13" xfId="1" applyFont="1" applyFill="1" applyBorder="1" applyAlignment="1">
      <alignment vertical="top" shrinkToFit="1"/>
    </xf>
    <xf numFmtId="0" fontId="18" fillId="3" borderId="13" xfId="0" applyFont="1" applyFill="1" applyBorder="1" applyAlignment="1">
      <alignment vertical="top" shrinkToFit="1"/>
    </xf>
    <xf numFmtId="0" fontId="18" fillId="3" borderId="0" xfId="0" applyFont="1" applyFill="1"/>
    <xf numFmtId="43" fontId="18" fillId="3" borderId="0" xfId="1" applyFont="1" applyFill="1"/>
    <xf numFmtId="0" fontId="18" fillId="3" borderId="0" xfId="0" applyFont="1" applyFill="1" applyAlignment="1">
      <alignment horizontal="center"/>
    </xf>
    <xf numFmtId="43" fontId="22" fillId="3" borderId="0" xfId="1" applyFont="1" applyFill="1"/>
    <xf numFmtId="0" fontId="13" fillId="3" borderId="0" xfId="0" applyFont="1" applyFill="1"/>
    <xf numFmtId="43" fontId="17" fillId="3" borderId="14" xfId="1" applyFont="1" applyFill="1" applyBorder="1"/>
    <xf numFmtId="43" fontId="13" fillId="3" borderId="0" xfId="0" applyNumberFormat="1" applyFont="1" applyFill="1"/>
    <xf numFmtId="43" fontId="37" fillId="3" borderId="0" xfId="1" applyFont="1" applyFill="1"/>
    <xf numFmtId="0" fontId="30" fillId="0" borderId="1" xfId="0" applyFont="1" applyBorder="1" applyAlignment="1">
      <alignment horizontal="center" vertical="top" wrapText="1"/>
    </xf>
    <xf numFmtId="0" fontId="20" fillId="0" borderId="0" xfId="7" applyFont="1" applyAlignment="1">
      <alignment vertical="top"/>
    </xf>
    <xf numFmtId="0" fontId="17" fillId="3" borderId="0" xfId="0" applyFont="1" applyFill="1"/>
    <xf numFmtId="0" fontId="28" fillId="3" borderId="0" xfId="0" applyFont="1" applyFill="1"/>
    <xf numFmtId="0" fontId="17" fillId="3" borderId="1" xfId="0" applyFont="1" applyFill="1" applyBorder="1" applyAlignment="1">
      <alignment horizontal="center" shrinkToFit="1"/>
    </xf>
    <xf numFmtId="0" fontId="12" fillId="3" borderId="1" xfId="0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horizontal="right" vertical="top" wrapText="1"/>
    </xf>
    <xf numFmtId="4" fontId="18" fillId="3" borderId="1" xfId="0" applyNumberFormat="1" applyFont="1" applyFill="1" applyBorder="1" applyAlignment="1">
      <alignment vertical="top"/>
    </xf>
    <xf numFmtId="43" fontId="18" fillId="3" borderId="1" xfId="1" applyFont="1" applyFill="1" applyBorder="1" applyAlignment="1">
      <alignment vertical="top"/>
    </xf>
    <xf numFmtId="43" fontId="28" fillId="3" borderId="1" xfId="1" applyFont="1" applyFill="1" applyBorder="1" applyAlignment="1">
      <alignment wrapText="1"/>
    </xf>
    <xf numFmtId="3" fontId="18" fillId="3" borderId="1" xfId="0" applyNumberFormat="1" applyFont="1" applyFill="1" applyBorder="1" applyAlignment="1">
      <alignment vertical="top"/>
    </xf>
    <xf numFmtId="0" fontId="30" fillId="0" borderId="1" xfId="0" applyFont="1" applyBorder="1" applyAlignment="1">
      <alignment horizontal="center" vertical="top"/>
    </xf>
    <xf numFmtId="43" fontId="30" fillId="3" borderId="1" xfId="1" applyFont="1" applyFill="1" applyBorder="1" applyAlignment="1">
      <alignment horizontal="center" vertical="top"/>
    </xf>
    <xf numFmtId="43" fontId="28" fillId="3" borderId="1" xfId="1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vertical="top" wrapText="1"/>
    </xf>
    <xf numFmtId="0" fontId="30" fillId="6" borderId="1" xfId="0" applyFont="1" applyFill="1" applyBorder="1" applyAlignment="1">
      <alignment horizontal="center" vertical="top"/>
    </xf>
    <xf numFmtId="43" fontId="18" fillId="6" borderId="1" xfId="1" applyFont="1" applyFill="1" applyBorder="1" applyAlignment="1">
      <alignment vertical="top"/>
    </xf>
    <xf numFmtId="4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vertical="top"/>
    </xf>
    <xf numFmtId="43" fontId="28" fillId="3" borderId="1" xfId="1" applyFont="1" applyFill="1" applyBorder="1"/>
    <xf numFmtId="3" fontId="13" fillId="3" borderId="1" xfId="0" applyNumberFormat="1" applyFont="1" applyFill="1" applyBorder="1" applyAlignment="1">
      <alignment vertical="top"/>
    </xf>
    <xf numFmtId="43" fontId="12" fillId="3" borderId="0" xfId="1" applyFont="1" applyFill="1" applyAlignment="1">
      <alignment horizontal="right"/>
    </xf>
    <xf numFmtId="43" fontId="17" fillId="3" borderId="0" xfId="1" applyFont="1" applyFill="1"/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vertical="top" wrapText="1"/>
    </xf>
    <xf numFmtId="4" fontId="18" fillId="3" borderId="7" xfId="0" applyNumberFormat="1" applyFont="1" applyFill="1" applyBorder="1" applyAlignment="1">
      <alignment horizontal="right" vertical="top" wrapText="1"/>
    </xf>
    <xf numFmtId="4" fontId="18" fillId="3" borderId="7" xfId="0" applyNumberFormat="1" applyFont="1" applyFill="1" applyBorder="1" applyAlignment="1">
      <alignment vertical="top" wrapText="1"/>
    </xf>
    <xf numFmtId="4" fontId="13" fillId="3" borderId="7" xfId="0" applyNumberFormat="1" applyFont="1" applyFill="1" applyBorder="1" applyAlignment="1">
      <alignment vertical="top"/>
    </xf>
    <xf numFmtId="3" fontId="18" fillId="3" borderId="7" xfId="0" applyNumberFormat="1" applyFont="1" applyFill="1" applyBorder="1" applyAlignment="1">
      <alignment vertical="top"/>
    </xf>
    <xf numFmtId="0" fontId="30" fillId="0" borderId="7" xfId="0" applyFont="1" applyBorder="1" applyAlignment="1">
      <alignment horizontal="center" vertical="top"/>
    </xf>
    <xf numFmtId="4" fontId="18" fillId="3" borderId="7" xfId="0" applyNumberFormat="1" applyFont="1" applyFill="1" applyBorder="1" applyAlignment="1">
      <alignment vertical="top"/>
    </xf>
    <xf numFmtId="43" fontId="30" fillId="3" borderId="7" xfId="1" applyFont="1" applyFill="1" applyBorder="1" applyAlignment="1">
      <alignment horizontal="center" vertical="top"/>
    </xf>
    <xf numFmtId="43" fontId="30" fillId="3" borderId="7" xfId="1" applyFont="1" applyFill="1" applyBorder="1" applyAlignment="1">
      <alignment vertical="top"/>
    </xf>
    <xf numFmtId="43" fontId="18" fillId="3" borderId="7" xfId="1" applyFont="1" applyFill="1" applyBorder="1" applyAlignment="1">
      <alignment vertical="top"/>
    </xf>
    <xf numFmtId="0" fontId="21" fillId="7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vertical="top"/>
    </xf>
    <xf numFmtId="4" fontId="11" fillId="3" borderId="0" xfId="0" applyNumberFormat="1" applyFont="1" applyFill="1"/>
    <xf numFmtId="4" fontId="18" fillId="6" borderId="1" xfId="0" applyNumberFormat="1" applyFont="1" applyFill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vertical="top"/>
    </xf>
    <xf numFmtId="43" fontId="28" fillId="6" borderId="1" xfId="1" applyFont="1" applyFill="1" applyBorder="1" applyAlignment="1">
      <alignment wrapText="1"/>
    </xf>
    <xf numFmtId="3" fontId="18" fillId="6" borderId="1" xfId="0" applyNumberFormat="1" applyFont="1" applyFill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43" fontId="28" fillId="5" borderId="1" xfId="1" applyFont="1" applyFill="1" applyBorder="1" applyAlignment="1">
      <alignment wrapText="1"/>
    </xf>
    <xf numFmtId="4" fontId="18" fillId="5" borderId="1" xfId="0" applyNumberFormat="1" applyFont="1" applyFill="1" applyBorder="1" applyAlignment="1">
      <alignment horizontal="right" vertical="top" wrapText="1"/>
    </xf>
    <xf numFmtId="4" fontId="13" fillId="5" borderId="1" xfId="0" applyNumberFormat="1" applyFont="1" applyFill="1" applyBorder="1" applyAlignment="1">
      <alignment vertical="top"/>
    </xf>
    <xf numFmtId="3" fontId="18" fillId="5" borderId="1" xfId="0" applyNumberFormat="1" applyFont="1" applyFill="1" applyBorder="1" applyAlignment="1">
      <alignment vertical="top"/>
    </xf>
    <xf numFmtId="0" fontId="30" fillId="5" borderId="1" xfId="0" applyFont="1" applyFill="1" applyBorder="1" applyAlignment="1">
      <alignment horizontal="center" vertical="top"/>
    </xf>
    <xf numFmtId="43" fontId="18" fillId="5" borderId="1" xfId="1" applyFont="1" applyFill="1" applyBorder="1" applyAlignment="1">
      <alignment vertical="top"/>
    </xf>
    <xf numFmtId="0" fontId="12" fillId="6" borderId="7" xfId="0" applyFont="1" applyFill="1" applyBorder="1" applyAlignment="1">
      <alignment vertical="top" wrapText="1"/>
    </xf>
    <xf numFmtId="4" fontId="18" fillId="6" borderId="7" xfId="0" applyNumberFormat="1" applyFont="1" applyFill="1" applyBorder="1" applyAlignment="1">
      <alignment horizontal="right" vertical="top" wrapText="1"/>
    </xf>
    <xf numFmtId="4" fontId="13" fillId="6" borderId="7" xfId="0" applyNumberFormat="1" applyFont="1" applyFill="1" applyBorder="1" applyAlignment="1">
      <alignment vertical="top"/>
    </xf>
    <xf numFmtId="3" fontId="18" fillId="6" borderId="7" xfId="0" applyNumberFormat="1" applyFont="1" applyFill="1" applyBorder="1" applyAlignment="1">
      <alignment vertical="top"/>
    </xf>
    <xf numFmtId="4" fontId="18" fillId="6" borderId="7" xfId="0" applyNumberFormat="1" applyFont="1" applyFill="1" applyBorder="1" applyAlignment="1">
      <alignment horizontal="center" vertical="top"/>
    </xf>
    <xf numFmtId="43" fontId="18" fillId="6" borderId="7" xfId="1" applyFont="1" applyFill="1" applyBorder="1" applyAlignment="1">
      <alignment vertical="top"/>
    </xf>
    <xf numFmtId="43" fontId="30" fillId="6" borderId="7" xfId="1" applyFont="1" applyFill="1" applyBorder="1" applyAlignment="1">
      <alignment horizontal="center" vertical="top"/>
    </xf>
    <xf numFmtId="4" fontId="18" fillId="5" borderId="1" xfId="0" applyNumberFormat="1" applyFont="1" applyFill="1" applyBorder="1" applyAlignment="1">
      <alignment vertical="top"/>
    </xf>
    <xf numFmtId="0" fontId="12" fillId="5" borderId="7" xfId="0" applyFont="1" applyFill="1" applyBorder="1" applyAlignment="1">
      <alignment vertical="top" wrapText="1"/>
    </xf>
    <xf numFmtId="4" fontId="18" fillId="5" borderId="7" xfId="0" applyNumberFormat="1" applyFont="1" applyFill="1" applyBorder="1" applyAlignment="1">
      <alignment horizontal="right" vertical="top" wrapText="1"/>
    </xf>
    <xf numFmtId="4" fontId="13" fillId="5" borderId="7" xfId="0" applyNumberFormat="1" applyFont="1" applyFill="1" applyBorder="1" applyAlignment="1">
      <alignment vertical="top"/>
    </xf>
    <xf numFmtId="3" fontId="18" fillId="5" borderId="7" xfId="0" applyNumberFormat="1" applyFont="1" applyFill="1" applyBorder="1" applyAlignment="1">
      <alignment vertical="top"/>
    </xf>
    <xf numFmtId="0" fontId="30" fillId="5" borderId="7" xfId="0" applyFont="1" applyFill="1" applyBorder="1" applyAlignment="1">
      <alignment horizontal="center" vertical="top"/>
    </xf>
    <xf numFmtId="4" fontId="18" fillId="5" borderId="7" xfId="0" applyNumberFormat="1" applyFont="1" applyFill="1" applyBorder="1" applyAlignment="1">
      <alignment vertical="top"/>
    </xf>
    <xf numFmtId="0" fontId="26" fillId="3" borderId="0" xfId="2" applyFont="1" applyFill="1"/>
    <xf numFmtId="0" fontId="25" fillId="3" borderId="0" xfId="2" applyFont="1" applyFill="1"/>
    <xf numFmtId="187" fontId="26" fillId="3" borderId="0" xfId="3" applyFont="1" applyFill="1"/>
    <xf numFmtId="187" fontId="25" fillId="3" borderId="0" xfId="3" applyFont="1" applyFill="1"/>
    <xf numFmtId="3" fontId="26" fillId="3" borderId="0" xfId="2" applyNumberFormat="1" applyFont="1" applyFill="1"/>
    <xf numFmtId="0" fontId="26" fillId="3" borderId="0" xfId="2" applyFont="1" applyFill="1" applyAlignment="1">
      <alignment horizontal="center"/>
    </xf>
    <xf numFmtId="0" fontId="25" fillId="3" borderId="0" xfId="2" applyFont="1" applyFill="1" applyAlignment="1">
      <alignment horizontal="right"/>
    </xf>
    <xf numFmtId="0" fontId="25" fillId="3" borderId="1" xfId="2" applyFont="1" applyFill="1" applyBorder="1" applyAlignment="1">
      <alignment horizontal="center" vertical="center" shrinkToFit="1"/>
    </xf>
    <xf numFmtId="43" fontId="25" fillId="3" borderId="1" xfId="3" applyNumberFormat="1" applyFont="1" applyFill="1" applyBorder="1" applyAlignment="1">
      <alignment horizontal="center" vertical="center" wrapText="1"/>
    </xf>
    <xf numFmtId="189" fontId="25" fillId="3" borderId="1" xfId="3" applyNumberFormat="1" applyFont="1" applyFill="1" applyBorder="1" applyAlignment="1">
      <alignment horizontal="center" vertical="center" wrapText="1"/>
    </xf>
    <xf numFmtId="0" fontId="25" fillId="3" borderId="1" xfId="7" applyFont="1" applyFill="1" applyBorder="1" applyAlignment="1">
      <alignment horizontal="center" vertical="center" wrapText="1"/>
    </xf>
    <xf numFmtId="187" fontId="20" fillId="3" borderId="1" xfId="4" applyFont="1" applyFill="1" applyBorder="1" applyAlignment="1">
      <alignment horizontal="center" shrinkToFit="1"/>
    </xf>
    <xf numFmtId="39" fontId="25" fillId="3" borderId="1" xfId="3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left" wrapText="1"/>
    </xf>
    <xf numFmtId="187" fontId="26" fillId="3" borderId="1" xfId="3" applyFont="1" applyFill="1" applyBorder="1" applyAlignment="1">
      <alignment vertical="top" shrinkToFit="1"/>
    </xf>
    <xf numFmtId="187" fontId="26" fillId="3" borderId="1" xfId="3" applyFont="1" applyFill="1" applyBorder="1" applyAlignment="1">
      <alignment horizontal="center" vertical="top" shrinkToFit="1"/>
    </xf>
    <xf numFmtId="187" fontId="25" fillId="3" borderId="1" xfId="3" applyFont="1" applyFill="1" applyBorder="1" applyAlignment="1">
      <alignment vertical="top" shrinkToFit="1"/>
    </xf>
    <xf numFmtId="3" fontId="26" fillId="3" borderId="1" xfId="2" applyNumberFormat="1" applyFont="1" applyFill="1" applyBorder="1" applyAlignment="1">
      <alignment horizontal="center" vertical="top" shrinkToFit="1"/>
    </xf>
    <xf numFmtId="0" fontId="26" fillId="3" borderId="1" xfId="2" applyFont="1" applyFill="1" applyBorder="1" applyAlignment="1">
      <alignment horizontal="center" vertical="top" shrinkToFit="1"/>
    </xf>
    <xf numFmtId="43" fontId="26" fillId="3" borderId="1" xfId="1" applyFont="1" applyFill="1" applyBorder="1" applyAlignment="1">
      <alignment vertical="top" shrinkToFit="1"/>
    </xf>
    <xf numFmtId="0" fontId="26" fillId="3" borderId="1" xfId="2" applyFont="1" applyFill="1" applyBorder="1" applyAlignment="1">
      <alignment horizontal="left" vertical="top" wrapText="1"/>
    </xf>
    <xf numFmtId="43" fontId="39" fillId="3" borderId="1" xfId="1" applyFont="1" applyFill="1" applyBorder="1" applyAlignment="1">
      <alignment horizontal="left" wrapText="1"/>
    </xf>
    <xf numFmtId="43" fontId="26" fillId="3" borderId="1" xfId="1" applyFont="1" applyFill="1" applyBorder="1" applyAlignment="1">
      <alignment horizontal="right" vertical="top"/>
    </xf>
    <xf numFmtId="43" fontId="30" fillId="3" borderId="1" xfId="1" applyFont="1" applyFill="1" applyBorder="1" applyAlignment="1">
      <alignment vertical="top" shrinkToFit="1"/>
    </xf>
    <xf numFmtId="0" fontId="26" fillId="3" borderId="1" xfId="2" applyFont="1" applyFill="1" applyBorder="1" applyAlignment="1">
      <alignment vertical="center" wrapText="1"/>
    </xf>
    <xf numFmtId="2" fontId="26" fillId="3" borderId="7" xfId="2" applyNumberFormat="1" applyFont="1" applyFill="1" applyBorder="1" applyAlignment="1">
      <alignment horizontal="right" vertical="top"/>
    </xf>
    <xf numFmtId="0" fontId="25" fillId="3" borderId="16" xfId="2" applyFont="1" applyFill="1" applyBorder="1"/>
    <xf numFmtId="0" fontId="25" fillId="3" borderId="13" xfId="2" applyFont="1" applyFill="1" applyBorder="1" applyAlignment="1">
      <alignment horizontal="center"/>
    </xf>
    <xf numFmtId="43" fontId="40" fillId="3" borderId="13" xfId="1" applyFont="1" applyFill="1" applyBorder="1" applyAlignment="1">
      <alignment horizontal="center"/>
    </xf>
    <xf numFmtId="187" fontId="25" fillId="3" borderId="13" xfId="3" applyFont="1" applyFill="1" applyBorder="1" applyAlignment="1">
      <alignment shrinkToFit="1"/>
    </xf>
    <xf numFmtId="3" fontId="25" fillId="3" borderId="13" xfId="2" applyNumberFormat="1" applyFont="1" applyFill="1" applyBorder="1" applyAlignment="1">
      <alignment shrinkToFit="1"/>
    </xf>
    <xf numFmtId="0" fontId="25" fillId="3" borderId="13" xfId="2" applyFont="1" applyFill="1" applyBorder="1" applyAlignment="1">
      <alignment horizontal="center" shrinkToFit="1"/>
    </xf>
    <xf numFmtId="0" fontId="25" fillId="3" borderId="13" xfId="2" applyFont="1" applyFill="1" applyBorder="1" applyAlignment="1">
      <alignment shrinkToFit="1"/>
    </xf>
    <xf numFmtId="0" fontId="26" fillId="3" borderId="13" xfId="2" applyFont="1" applyFill="1" applyBorder="1"/>
    <xf numFmtId="0" fontId="26" fillId="3" borderId="16" xfId="2" applyFont="1" applyFill="1" applyBorder="1"/>
    <xf numFmtId="43" fontId="2" fillId="3" borderId="0" xfId="1" applyFont="1" applyFill="1" applyAlignment="1">
      <alignment horizontal="right"/>
    </xf>
    <xf numFmtId="43" fontId="29" fillId="3" borderId="0" xfId="1" applyFont="1" applyFill="1"/>
    <xf numFmtId="3" fontId="26" fillId="3" borderId="7" xfId="2" applyNumberFormat="1" applyFont="1" applyFill="1" applyBorder="1" applyAlignment="1">
      <alignment horizontal="center" vertical="top" shrinkToFit="1"/>
    </xf>
    <xf numFmtId="0" fontId="26" fillId="3" borderId="7" xfId="2" applyFont="1" applyFill="1" applyBorder="1" applyAlignment="1">
      <alignment horizontal="center" vertical="top" shrinkToFit="1"/>
    </xf>
    <xf numFmtId="187" fontId="26" fillId="3" borderId="7" xfId="3" applyFont="1" applyFill="1" applyBorder="1" applyAlignment="1">
      <alignment horizontal="center" vertical="top" shrinkToFit="1"/>
    </xf>
    <xf numFmtId="43" fontId="26" fillId="3" borderId="7" xfId="1" applyFont="1" applyFill="1" applyBorder="1" applyAlignment="1">
      <alignment vertical="top" shrinkToFit="1"/>
    </xf>
    <xf numFmtId="0" fontId="26" fillId="3" borderId="7" xfId="2" applyFont="1" applyFill="1" applyBorder="1" applyAlignment="1">
      <alignment vertical="center" wrapText="1"/>
    </xf>
    <xf numFmtId="43" fontId="39" fillId="3" borderId="7" xfId="1" applyFont="1" applyFill="1" applyBorder="1" applyAlignment="1">
      <alignment horizontal="left" wrapText="1"/>
    </xf>
    <xf numFmtId="187" fontId="26" fillId="3" borderId="7" xfId="3" applyFont="1" applyFill="1" applyBorder="1" applyAlignment="1">
      <alignment vertical="top" shrinkToFit="1"/>
    </xf>
    <xf numFmtId="187" fontId="25" fillId="3" borderId="7" xfId="3" applyFont="1" applyFill="1" applyBorder="1" applyAlignment="1">
      <alignment vertical="top" shrinkToFit="1"/>
    </xf>
    <xf numFmtId="0" fontId="26" fillId="6" borderId="7" xfId="2" applyFont="1" applyFill="1" applyBorder="1" applyAlignment="1">
      <alignment vertical="center" wrapText="1"/>
    </xf>
    <xf numFmtId="43" fontId="39" fillId="6" borderId="7" xfId="1" applyFont="1" applyFill="1" applyBorder="1" applyAlignment="1">
      <alignment horizontal="left" wrapText="1"/>
    </xf>
    <xf numFmtId="187" fontId="25" fillId="6" borderId="7" xfId="3" applyFont="1" applyFill="1" applyBorder="1" applyAlignment="1">
      <alignment vertical="top" shrinkToFit="1"/>
    </xf>
    <xf numFmtId="3" fontId="26" fillId="6" borderId="7" xfId="2" applyNumberFormat="1" applyFont="1" applyFill="1" applyBorder="1" applyAlignment="1">
      <alignment horizontal="center" vertical="top" shrinkToFit="1"/>
    </xf>
    <xf numFmtId="0" fontId="26" fillId="6" borderId="7" xfId="2" applyFont="1" applyFill="1" applyBorder="1" applyAlignment="1">
      <alignment horizontal="center" vertical="top" shrinkToFit="1"/>
    </xf>
    <xf numFmtId="43" fontId="26" fillId="6" borderId="7" xfId="1" applyFont="1" applyFill="1" applyBorder="1" applyAlignment="1">
      <alignment vertical="top" shrinkToFit="1"/>
    </xf>
    <xf numFmtId="43" fontId="30" fillId="6" borderId="7" xfId="1" applyFont="1" applyFill="1" applyBorder="1" applyAlignment="1">
      <alignment vertical="top"/>
    </xf>
    <xf numFmtId="2" fontId="26" fillId="6" borderId="7" xfId="2" applyNumberFormat="1" applyFont="1" applyFill="1" applyBorder="1" applyAlignment="1">
      <alignment horizontal="right" vertical="top"/>
    </xf>
    <xf numFmtId="0" fontId="41" fillId="0" borderId="7" xfId="7" applyFont="1" applyBorder="1" applyAlignment="1">
      <alignment horizontal="center" vertical="center" wrapText="1"/>
    </xf>
    <xf numFmtId="43" fontId="41" fillId="0" borderId="1" xfId="3" applyNumberFormat="1" applyFont="1" applyBorder="1" applyAlignment="1">
      <alignment horizontal="center" vertical="center" wrapText="1"/>
    </xf>
    <xf numFmtId="189" fontId="41" fillId="0" borderId="1" xfId="3" applyNumberFormat="1" applyFont="1" applyBorder="1" applyAlignment="1">
      <alignment horizontal="center" vertical="center" wrapText="1"/>
    </xf>
    <xf numFmtId="0" fontId="41" fillId="0" borderId="1" xfId="7" applyFont="1" applyBorder="1" applyAlignment="1">
      <alignment horizontal="center" vertical="center" wrapText="1"/>
    </xf>
    <xf numFmtId="39" fontId="41" fillId="0" borderId="1" xfId="3" applyNumberFormat="1" applyFont="1" applyBorder="1" applyAlignment="1">
      <alignment horizontal="center" vertical="center" wrapText="1"/>
    </xf>
    <xf numFmtId="187" fontId="42" fillId="0" borderId="1" xfId="3" applyFont="1" applyBorder="1" applyAlignment="1">
      <alignment vertical="top" shrinkToFit="1"/>
    </xf>
    <xf numFmtId="43" fontId="6" fillId="7" borderId="1" xfId="1" applyFont="1" applyFill="1" applyBorder="1" applyAlignment="1">
      <alignment horizontal="left" vertical="top" wrapText="1"/>
    </xf>
    <xf numFmtId="187" fontId="42" fillId="0" borderId="1" xfId="3" applyFont="1" applyBorder="1" applyAlignment="1">
      <alignment horizontal="center" vertical="top" shrinkToFit="1"/>
    </xf>
    <xf numFmtId="43" fontId="43" fillId="0" borderId="1" xfId="1" applyFont="1" applyBorder="1" applyAlignment="1">
      <alignment horizontal="right" vertical="top"/>
    </xf>
    <xf numFmtId="188" fontId="43" fillId="0" borderId="1" xfId="1" applyNumberFormat="1" applyFont="1" applyBorder="1" applyAlignment="1">
      <alignment vertical="top" shrinkToFit="1"/>
    </xf>
    <xf numFmtId="3" fontId="42" fillId="0" borderId="1" xfId="0" applyNumberFormat="1" applyFont="1" applyBorder="1" applyAlignment="1">
      <alignment horizontal="center" vertical="top" shrinkToFit="1"/>
    </xf>
    <xf numFmtId="2" fontId="42" fillId="0" borderId="1" xfId="1" applyNumberFormat="1" applyFont="1" applyBorder="1" applyAlignment="1">
      <alignment horizontal="right" vertical="top" shrinkToFit="1"/>
    </xf>
    <xf numFmtId="43" fontId="6" fillId="0" borderId="1" xfId="1" applyFont="1" applyBorder="1" applyAlignment="1">
      <alignment horizontal="right" vertical="top"/>
    </xf>
    <xf numFmtId="43" fontId="6" fillId="7" borderId="7" xfId="1" applyFont="1" applyFill="1" applyBorder="1" applyAlignment="1">
      <alignment horizontal="left" vertical="top" wrapText="1"/>
    </xf>
    <xf numFmtId="3" fontId="42" fillId="0" borderId="7" xfId="0" applyNumberFormat="1" applyFont="1" applyBorder="1" applyAlignment="1">
      <alignment horizontal="center" vertical="top" shrinkToFit="1"/>
    </xf>
    <xf numFmtId="43" fontId="42" fillId="0" borderId="7" xfId="1" applyFont="1" applyBorder="1" applyAlignment="1">
      <alignment vertical="center"/>
    </xf>
    <xf numFmtId="43" fontId="43" fillId="0" borderId="1" xfId="1" applyFont="1" applyBorder="1" applyAlignment="1">
      <alignment vertical="top"/>
    </xf>
    <xf numFmtId="43" fontId="8" fillId="7" borderId="13" xfId="1" applyFont="1" applyFill="1" applyBorder="1" applyAlignment="1">
      <alignment horizontal="center"/>
    </xf>
    <xf numFmtId="43" fontId="43" fillId="3" borderId="13" xfId="1" applyFont="1" applyFill="1" applyBorder="1" applyAlignment="1">
      <alignment horizontal="center"/>
    </xf>
    <xf numFmtId="43" fontId="43" fillId="0" borderId="13" xfId="1" applyFont="1" applyBorder="1" applyAlignment="1">
      <alignment shrinkToFit="1"/>
    </xf>
    <xf numFmtId="3" fontId="43" fillId="0" borderId="13" xfId="0" applyNumberFormat="1" applyFont="1" applyBorder="1" applyAlignment="1">
      <alignment shrinkToFit="1"/>
    </xf>
    <xf numFmtId="2" fontId="43" fillId="0" borderId="13" xfId="0" applyNumberFormat="1" applyFont="1" applyBorder="1" applyAlignment="1">
      <alignment shrinkToFit="1"/>
    </xf>
    <xf numFmtId="0" fontId="6" fillId="0" borderId="13" xfId="0" applyFont="1" applyBorder="1"/>
    <xf numFmtId="43" fontId="29" fillId="0" borderId="0" xfId="1" applyFont="1"/>
    <xf numFmtId="43" fontId="42" fillId="0" borderId="7" xfId="1" applyFont="1" applyBorder="1" applyAlignment="1">
      <alignment vertical="top"/>
    </xf>
    <xf numFmtId="43" fontId="3" fillId="0" borderId="0" xfId="1" applyFont="1"/>
    <xf numFmtId="0" fontId="25" fillId="0" borderId="0" xfId="0" applyFont="1" applyAlignment="1">
      <alignment vertical="top"/>
    </xf>
    <xf numFmtId="43" fontId="8" fillId="0" borderId="0" xfId="1" applyFont="1"/>
    <xf numFmtId="0" fontId="41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30" fillId="0" borderId="0" xfId="0" applyFont="1"/>
    <xf numFmtId="0" fontId="41" fillId="0" borderId="1" xfId="0" applyFont="1" applyBorder="1" applyAlignment="1">
      <alignment vertical="top" wrapText="1"/>
    </xf>
    <xf numFmtId="43" fontId="2" fillId="0" borderId="1" xfId="1" applyFont="1" applyBorder="1"/>
    <xf numFmtId="43" fontId="2" fillId="0" borderId="1" xfId="1" applyFont="1" applyBorder="1" applyAlignment="1">
      <alignment horizontal="right" wrapText="1"/>
    </xf>
    <xf numFmtId="43" fontId="3" fillId="0" borderId="1" xfId="1" applyFont="1" applyBorder="1" applyAlignment="1">
      <alignment horizontal="right" wrapText="1"/>
    </xf>
    <xf numFmtId="43" fontId="6" fillId="0" borderId="1" xfId="1" applyFont="1" applyBorder="1"/>
    <xf numFmtId="43" fontId="3" fillId="0" borderId="1" xfId="1" applyFont="1" applyBorder="1"/>
    <xf numFmtId="4" fontId="3" fillId="0" borderId="1" xfId="0" applyNumberFormat="1" applyFont="1" applyBorder="1"/>
    <xf numFmtId="0" fontId="30" fillId="0" borderId="1" xfId="0" applyFont="1" applyBorder="1"/>
    <xf numFmtId="0" fontId="44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3" fontId="30" fillId="0" borderId="1" xfId="1" applyFont="1" applyBorder="1"/>
    <xf numFmtId="43" fontId="18" fillId="0" borderId="1" xfId="1" applyFont="1" applyBorder="1" applyAlignment="1">
      <alignment shrinkToFit="1"/>
    </xf>
    <xf numFmtId="43" fontId="30" fillId="0" borderId="1" xfId="1" applyFont="1" applyBorder="1" applyAlignment="1">
      <alignment shrinkToFit="1"/>
    </xf>
    <xf numFmtId="43" fontId="18" fillId="0" borderId="1" xfId="1" applyFont="1" applyBorder="1"/>
    <xf numFmtId="43" fontId="18" fillId="0" borderId="1" xfId="1" applyFont="1" applyBorder="1" applyAlignment="1">
      <alignment horizontal="right" wrapText="1"/>
    </xf>
    <xf numFmtId="0" fontId="44" fillId="0" borderId="1" xfId="2" applyFont="1" applyBorder="1" applyAlignment="1">
      <alignment vertical="top" shrinkToFit="1"/>
    </xf>
    <xf numFmtId="0" fontId="13" fillId="0" borderId="0" xfId="0" applyFont="1"/>
    <xf numFmtId="0" fontId="3" fillId="0" borderId="13" xfId="0" applyFont="1" applyBorder="1" applyAlignment="1">
      <alignment horizontal="center" vertical="center"/>
    </xf>
    <xf numFmtId="43" fontId="13" fillId="0" borderId="13" xfId="1" applyFont="1" applyBorder="1" applyAlignment="1">
      <alignment horizontal="right" vertical="center"/>
    </xf>
    <xf numFmtId="43" fontId="14" fillId="0" borderId="13" xfId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4" fillId="0" borderId="0" xfId="1" applyFont="1"/>
    <xf numFmtId="4" fontId="12" fillId="0" borderId="0" xfId="0" applyNumberFormat="1" applyFont="1"/>
    <xf numFmtId="0" fontId="26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vertical="top"/>
    </xf>
    <xf numFmtId="0" fontId="26" fillId="3" borderId="0" xfId="0" applyFont="1" applyFill="1" applyAlignment="1">
      <alignment vertical="top"/>
    </xf>
    <xf numFmtId="187" fontId="25" fillId="3" borderId="0" xfId="3" applyFont="1" applyFill="1" applyAlignment="1">
      <alignment vertical="top"/>
    </xf>
    <xf numFmtId="187" fontId="26" fillId="3" borderId="0" xfId="3" applyFont="1" applyFill="1" applyAlignment="1">
      <alignment vertical="top"/>
    </xf>
    <xf numFmtId="0" fontId="41" fillId="3" borderId="0" xfId="0" applyFont="1" applyFill="1" applyAlignment="1">
      <alignment horizontal="center" vertical="center"/>
    </xf>
    <xf numFmtId="0" fontId="41" fillId="3" borderId="7" xfId="0" applyFont="1" applyFill="1" applyBorder="1" applyAlignment="1">
      <alignment horizontal="center" vertical="top" wrapText="1"/>
    </xf>
    <xf numFmtId="187" fontId="41" fillId="3" borderId="7" xfId="3" applyFont="1" applyFill="1" applyBorder="1" applyAlignment="1">
      <alignment horizontal="center" vertical="top" shrinkToFit="1"/>
    </xf>
    <xf numFmtId="0" fontId="41" fillId="3" borderId="8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vertical="top"/>
    </xf>
    <xf numFmtId="4" fontId="44" fillId="3" borderId="1" xfId="0" applyNumberFormat="1" applyFont="1" applyFill="1" applyBorder="1" applyAlignment="1">
      <alignment vertical="top"/>
    </xf>
    <xf numFmtId="0" fontId="44" fillId="3" borderId="1" xfId="0" applyFont="1" applyFill="1" applyBorder="1" applyAlignment="1">
      <alignment vertical="top"/>
    </xf>
    <xf numFmtId="187" fontId="44" fillId="3" borderId="1" xfId="3" applyFont="1" applyFill="1" applyBorder="1" applyAlignment="1">
      <alignment vertical="top"/>
    </xf>
    <xf numFmtId="0" fontId="44" fillId="3" borderId="0" xfId="0" applyFont="1" applyFill="1"/>
    <xf numFmtId="43" fontId="44" fillId="3" borderId="0" xfId="0" applyNumberFormat="1" applyFont="1" applyFill="1"/>
    <xf numFmtId="43" fontId="44" fillId="3" borderId="1" xfId="1" applyFont="1" applyFill="1" applyBorder="1" applyAlignment="1">
      <alignment vertical="top"/>
    </xf>
    <xf numFmtId="43" fontId="41" fillId="3" borderId="1" xfId="1" applyFont="1" applyFill="1" applyBorder="1" applyAlignment="1">
      <alignment vertical="top"/>
    </xf>
    <xf numFmtId="190" fontId="44" fillId="3" borderId="1" xfId="0" applyNumberFormat="1" applyFont="1" applyFill="1" applyBorder="1" applyAlignment="1">
      <alignment horizontal="right" vertical="center"/>
    </xf>
    <xf numFmtId="190" fontId="44" fillId="3" borderId="1" xfId="3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187" fontId="12" fillId="3" borderId="1" xfId="9" applyNumberFormat="1" applyFont="1" applyFill="1" applyBorder="1" applyAlignment="1">
      <alignment horizontal="right" vertical="center" shrinkToFit="1"/>
    </xf>
    <xf numFmtId="187" fontId="41" fillId="3" borderId="1" xfId="0" applyNumberFormat="1" applyFont="1" applyFill="1" applyBorder="1" applyAlignment="1">
      <alignment horizontal="right" vertical="center" shrinkToFit="1"/>
    </xf>
    <xf numFmtId="4" fontId="12" fillId="3" borderId="1" xfId="0" applyNumberFormat="1" applyFont="1" applyFill="1" applyBorder="1" applyAlignment="1">
      <alignment horizontal="right" vertical="center" shrinkToFit="1"/>
    </xf>
    <xf numFmtId="4" fontId="12" fillId="3" borderId="7" xfId="0" applyNumberFormat="1" applyFont="1" applyFill="1" applyBorder="1" applyAlignment="1">
      <alignment horizontal="right" vertical="center" wrapText="1"/>
    </xf>
    <xf numFmtId="187" fontId="12" fillId="3" borderId="7" xfId="9" applyNumberFormat="1" applyFont="1" applyFill="1" applyBorder="1" applyAlignment="1">
      <alignment horizontal="right" vertical="center" shrinkToFit="1"/>
    </xf>
    <xf numFmtId="187" fontId="41" fillId="3" borderId="7" xfId="0" applyNumberFormat="1" applyFont="1" applyFill="1" applyBorder="1" applyAlignment="1">
      <alignment horizontal="right" vertical="center" shrinkToFit="1"/>
    </xf>
    <xf numFmtId="190" fontId="44" fillId="3" borderId="7" xfId="0" applyNumberFormat="1" applyFont="1" applyFill="1" applyBorder="1" applyAlignment="1">
      <alignment horizontal="right" vertical="center"/>
    </xf>
    <xf numFmtId="190" fontId="44" fillId="3" borderId="7" xfId="3" applyNumberFormat="1" applyFont="1" applyFill="1" applyBorder="1" applyAlignment="1">
      <alignment horizontal="right" vertical="center"/>
    </xf>
    <xf numFmtId="187" fontId="41" fillId="3" borderId="13" xfId="3" applyFont="1" applyFill="1" applyBorder="1" applyAlignment="1">
      <alignment horizontal="right" vertical="center" shrinkToFit="1"/>
    </xf>
    <xf numFmtId="190" fontId="41" fillId="3" borderId="13" xfId="0" applyNumberFormat="1" applyFont="1" applyFill="1" applyBorder="1" applyAlignment="1">
      <alignment horizontal="right" vertical="center"/>
    </xf>
    <xf numFmtId="190" fontId="41" fillId="3" borderId="13" xfId="3" applyNumberFormat="1" applyFont="1" applyFill="1" applyBorder="1" applyAlignment="1">
      <alignment horizontal="right" vertical="center"/>
    </xf>
    <xf numFmtId="187" fontId="41" fillId="3" borderId="0" xfId="3" applyFont="1" applyFill="1" applyAlignment="1">
      <alignment vertical="top"/>
    </xf>
    <xf numFmtId="0" fontId="41" fillId="3" borderId="0" xfId="0" applyFont="1" applyFill="1" applyAlignment="1">
      <alignment vertical="top" wrapText="1"/>
    </xf>
    <xf numFmtId="187" fontId="41" fillId="3" borderId="0" xfId="0" applyNumberFormat="1" applyFont="1" applyFill="1" applyAlignment="1">
      <alignment vertical="top"/>
    </xf>
    <xf numFmtId="0" fontId="44" fillId="3" borderId="0" xfId="0" applyFont="1" applyFill="1" applyAlignment="1">
      <alignment vertical="top"/>
    </xf>
    <xf numFmtId="0" fontId="41" fillId="3" borderId="0" xfId="0" applyFont="1" applyFill="1" applyAlignment="1">
      <alignment vertical="top"/>
    </xf>
    <xf numFmtId="187" fontId="44" fillId="3" borderId="0" xfId="3" applyFont="1" applyFill="1" applyAlignment="1">
      <alignment vertical="top"/>
    </xf>
    <xf numFmtId="0" fontId="46" fillId="3" borderId="0" xfId="0" applyFont="1" applyFill="1" applyAlignment="1">
      <alignment vertical="top" wrapText="1"/>
    </xf>
    <xf numFmtId="0" fontId="47" fillId="3" borderId="0" xfId="0" applyFont="1" applyFill="1" applyAlignment="1">
      <alignment vertical="top"/>
    </xf>
    <xf numFmtId="189" fontId="18" fillId="0" borderId="1" xfId="1" applyNumberFormat="1" applyFont="1" applyBorder="1" applyAlignment="1">
      <alignment vertical="top"/>
    </xf>
    <xf numFmtId="0" fontId="18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189" fontId="18" fillId="0" borderId="1" xfId="1" applyNumberFormat="1" applyFont="1" applyBorder="1"/>
    <xf numFmtId="189" fontId="30" fillId="0" borderId="1" xfId="1" applyNumberFormat="1" applyFont="1" applyBorder="1"/>
    <xf numFmtId="43" fontId="18" fillId="0" borderId="1" xfId="0" applyNumberFormat="1" applyFont="1" applyBorder="1"/>
    <xf numFmtId="0" fontId="18" fillId="0" borderId="1" xfId="0" applyFont="1" applyBorder="1" applyAlignment="1">
      <alignment horizontal="right" vertical="top"/>
    </xf>
    <xf numFmtId="43" fontId="18" fillId="0" borderId="1" xfId="0" applyNumberFormat="1" applyFont="1" applyBorder="1" applyAlignment="1">
      <alignment vertical="top"/>
    </xf>
    <xf numFmtId="0" fontId="26" fillId="0" borderId="1" xfId="2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/>
    </xf>
    <xf numFmtId="43" fontId="6" fillId="0" borderId="1" xfId="1" applyFont="1" applyBorder="1" applyAlignment="1">
      <alignment vertical="top"/>
    </xf>
    <xf numFmtId="3" fontId="6" fillId="0" borderId="7" xfId="0" applyNumberFormat="1" applyFont="1" applyBorder="1" applyAlignment="1">
      <alignment vertical="top"/>
    </xf>
    <xf numFmtId="0" fontId="8" fillId="0" borderId="0" xfId="0" applyFont="1" applyAlignment="1">
      <alignment horizontal="left" indent="1"/>
    </xf>
    <xf numFmtId="43" fontId="30" fillId="6" borderId="1" xfId="1" applyFont="1" applyFill="1" applyBorder="1" applyAlignment="1">
      <alignment horizontal="center" vertical="top"/>
    </xf>
    <xf numFmtId="187" fontId="18" fillId="3" borderId="1" xfId="1" applyNumberFormat="1" applyFont="1" applyFill="1" applyBorder="1" applyAlignment="1">
      <alignment vertical="top" shrinkToFit="1"/>
    </xf>
    <xf numFmtId="190" fontId="26" fillId="3" borderId="1" xfId="1" applyNumberFormat="1" applyFont="1" applyFill="1" applyBorder="1" applyAlignment="1">
      <alignment horizontal="right" vertical="top"/>
    </xf>
    <xf numFmtId="190" fontId="30" fillId="3" borderId="1" xfId="1" applyNumberFormat="1" applyFont="1" applyFill="1" applyBorder="1" applyAlignment="1">
      <alignment horizontal="right" vertical="top"/>
    </xf>
    <xf numFmtId="3" fontId="42" fillId="0" borderId="1" xfId="0" applyNumberFormat="1" applyFont="1" applyBorder="1" applyAlignment="1">
      <alignment horizontal="center" vertical="top" wrapText="1"/>
    </xf>
    <xf numFmtId="43" fontId="42" fillId="0" borderId="1" xfId="1" applyFont="1" applyBorder="1" applyAlignment="1">
      <alignment horizontal="right" vertical="top" shrinkToFit="1"/>
    </xf>
    <xf numFmtId="0" fontId="8" fillId="0" borderId="0" xfId="0" applyFont="1" applyAlignment="1">
      <alignment horizontal="right" indent="1"/>
    </xf>
    <xf numFmtId="43" fontId="48" fillId="0" borderId="0" xfId="1" applyFont="1"/>
    <xf numFmtId="190" fontId="18" fillId="0" borderId="1" xfId="1" applyNumberFormat="1" applyFont="1" applyBorder="1" applyAlignment="1">
      <alignment shrinkToFit="1"/>
    </xf>
    <xf numFmtId="190" fontId="30" fillId="0" borderId="1" xfId="1" applyNumberFormat="1" applyFont="1" applyBorder="1" applyAlignment="1">
      <alignment shrinkToFit="1"/>
    </xf>
    <xf numFmtId="0" fontId="20" fillId="0" borderId="0" xfId="0" applyFont="1"/>
    <xf numFmtId="0" fontId="49" fillId="3" borderId="0" xfId="0" applyFont="1" applyFill="1"/>
    <xf numFmtId="0" fontId="27" fillId="0" borderId="0" xfId="0" applyFont="1" applyAlignment="1">
      <alignment horizontal="center"/>
    </xf>
    <xf numFmtId="0" fontId="21" fillId="0" borderId="0" xfId="0" applyFont="1"/>
    <xf numFmtId="0" fontId="27" fillId="8" borderId="17" xfId="0" applyFont="1" applyFill="1" applyBorder="1"/>
    <xf numFmtId="0" fontId="27" fillId="8" borderId="5" xfId="0" applyFont="1" applyFill="1" applyBorder="1" applyAlignment="1">
      <alignment horizontal="center"/>
    </xf>
    <xf numFmtId="0" fontId="21" fillId="8" borderId="4" xfId="0" applyFont="1" applyFill="1" applyBorder="1"/>
    <xf numFmtId="0" fontId="41" fillId="0" borderId="7" xfId="0" applyFont="1" applyBorder="1" applyAlignment="1">
      <alignment horizontal="center" vertical="center"/>
    </xf>
    <xf numFmtId="0" fontId="44" fillId="0" borderId="18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/>
    </xf>
    <xf numFmtId="0" fontId="44" fillId="0" borderId="18" xfId="0" applyFont="1" applyBorder="1" applyAlignment="1">
      <alignment vertical="center" wrapText="1"/>
    </xf>
    <xf numFmtId="0" fontId="44" fillId="0" borderId="1" xfId="0" applyFont="1" applyBorder="1" applyAlignment="1">
      <alignment vertical="top"/>
    </xf>
    <xf numFmtId="0" fontId="44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 vertical="center"/>
    </xf>
    <xf numFmtId="0" fontId="28" fillId="0" borderId="0" xfId="0" applyFont="1"/>
    <xf numFmtId="0" fontId="50" fillId="0" borderId="0" xfId="0" applyFont="1" applyAlignment="1">
      <alignment horizontal="center"/>
    </xf>
    <xf numFmtId="0" fontId="44" fillId="0" borderId="7" xfId="0" applyFont="1" applyBorder="1" applyAlignment="1">
      <alignment vertical="top" wrapText="1"/>
    </xf>
    <xf numFmtId="0" fontId="44" fillId="0" borderId="7" xfId="0" applyFont="1" applyBorder="1" applyAlignment="1">
      <alignment vertical="top"/>
    </xf>
    <xf numFmtId="0" fontId="41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top"/>
    </xf>
    <xf numFmtId="0" fontId="44" fillId="0" borderId="18" xfId="0" applyFont="1" applyBorder="1" applyAlignment="1">
      <alignment horizontal="left" vertical="top" wrapText="1"/>
    </xf>
    <xf numFmtId="0" fontId="44" fillId="0" borderId="18" xfId="0" applyFont="1" applyBorder="1" applyAlignment="1">
      <alignment vertical="top" wrapText="1"/>
    </xf>
    <xf numFmtId="189" fontId="43" fillId="0" borderId="1" xfId="1" applyNumberFormat="1" applyFont="1" applyBorder="1" applyAlignment="1">
      <alignment vertical="top" shrinkToFit="1"/>
    </xf>
    <xf numFmtId="43" fontId="33" fillId="0" borderId="1" xfId="1" applyFont="1" applyBorder="1" applyAlignment="1">
      <alignment horizontal="right" vertical="top" shrinkToFit="1"/>
    </xf>
    <xf numFmtId="3" fontId="18" fillId="3" borderId="7" xfId="0" applyNumberFormat="1" applyFont="1" applyFill="1" applyBorder="1" applyAlignment="1">
      <alignment horizontal="right" vertical="top"/>
    </xf>
    <xf numFmtId="0" fontId="12" fillId="3" borderId="7" xfId="0" applyFont="1" applyFill="1" applyBorder="1" applyAlignment="1">
      <alignment horizontal="left" vertical="top" wrapText="1"/>
    </xf>
    <xf numFmtId="4" fontId="18" fillId="3" borderId="7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top" wrapText="1" shrinkToFit="1"/>
    </xf>
    <xf numFmtId="0" fontId="51" fillId="0" borderId="0" xfId="0" applyFont="1"/>
    <xf numFmtId="0" fontId="6" fillId="3" borderId="2" xfId="0" applyFont="1" applyFill="1" applyBorder="1" applyAlignment="1">
      <alignment horizontal="left" wrapText="1"/>
    </xf>
    <xf numFmtId="0" fontId="6" fillId="3" borderId="5" xfId="0" applyFont="1" applyFill="1" applyBorder="1"/>
    <xf numFmtId="0" fontId="6" fillId="3" borderId="4" xfId="0" applyFont="1" applyFill="1" applyBorder="1" applyAlignment="1">
      <alignment horizontal="left" wrapText="1"/>
    </xf>
    <xf numFmtId="43" fontId="6" fillId="5" borderId="1" xfId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/>
    <xf numFmtId="0" fontId="6" fillId="3" borderId="0" xfId="0" applyFont="1" applyFill="1"/>
    <xf numFmtId="0" fontId="27" fillId="9" borderId="17" xfId="0" applyFont="1" applyFill="1" applyBorder="1"/>
    <xf numFmtId="0" fontId="27" fillId="9" borderId="5" xfId="0" applyFont="1" applyFill="1" applyBorder="1" applyAlignment="1">
      <alignment horizontal="center"/>
    </xf>
    <xf numFmtId="0" fontId="21" fillId="9" borderId="4" xfId="0" applyFont="1" applyFill="1" applyBorder="1"/>
    <xf numFmtId="187" fontId="22" fillId="3" borderId="1" xfId="1" applyNumberFormat="1" applyFont="1" applyFill="1" applyBorder="1" applyAlignment="1">
      <alignment vertical="top" shrinkToFit="1"/>
    </xf>
    <xf numFmtId="4" fontId="13" fillId="3" borderId="7" xfId="0" applyNumberFormat="1" applyFont="1" applyFill="1" applyBorder="1" applyAlignment="1">
      <alignment horizontal="right" vertical="top"/>
    </xf>
    <xf numFmtId="0" fontId="30" fillId="3" borderId="7" xfId="0" applyFont="1" applyFill="1" applyBorder="1" applyAlignment="1">
      <alignment horizontal="center" vertical="top"/>
    </xf>
    <xf numFmtId="4" fontId="18" fillId="3" borderId="7" xfId="0" applyNumberFormat="1" applyFont="1" applyFill="1" applyBorder="1" applyAlignment="1">
      <alignment horizontal="right" vertical="top"/>
    </xf>
    <xf numFmtId="0" fontId="30" fillId="3" borderId="1" xfId="0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43" fontId="30" fillId="3" borderId="1" xfId="1" applyFont="1" applyFill="1" applyBorder="1" applyAlignment="1">
      <alignment horizontal="right" vertical="top" wrapText="1"/>
    </xf>
    <xf numFmtId="43" fontId="30" fillId="3" borderId="1" xfId="1" applyFont="1" applyFill="1" applyBorder="1" applyAlignment="1">
      <alignment horizontal="right" vertical="top" shrinkToFit="1"/>
    </xf>
    <xf numFmtId="187" fontId="14" fillId="3" borderId="1" xfId="0" applyNumberFormat="1" applyFont="1" applyFill="1" applyBorder="1" applyAlignment="1">
      <alignment vertical="top" shrinkToFit="1"/>
    </xf>
    <xf numFmtId="43" fontId="30" fillId="3" borderId="1" xfId="1" applyFont="1" applyFill="1" applyBorder="1" applyAlignment="1">
      <alignment vertical="top" wrapText="1"/>
    </xf>
    <xf numFmtId="190" fontId="30" fillId="3" borderId="1" xfId="1" applyNumberFormat="1" applyFont="1" applyFill="1" applyBorder="1" applyAlignment="1">
      <alignment vertical="top" shrinkToFit="1"/>
    </xf>
    <xf numFmtId="190" fontId="22" fillId="3" borderId="1" xfId="1" applyNumberFormat="1" applyFont="1" applyFill="1" applyBorder="1" applyAlignment="1">
      <alignment vertical="top" shrinkToFit="1"/>
    </xf>
    <xf numFmtId="43" fontId="13" fillId="3" borderId="1" xfId="1" applyFont="1" applyFill="1" applyBorder="1" applyAlignment="1">
      <alignment vertical="top" shrinkToFit="1"/>
    </xf>
    <xf numFmtId="190" fontId="18" fillId="3" borderId="1" xfId="1" applyNumberFormat="1" applyFont="1" applyFill="1" applyBorder="1" applyAlignment="1">
      <alignment vertical="top" shrinkToFit="1"/>
    </xf>
    <xf numFmtId="0" fontId="33" fillId="3" borderId="1" xfId="0" applyFont="1" applyFill="1" applyBorder="1" applyAlignment="1">
      <alignment vertical="top" wrapText="1" shrinkToFit="1"/>
    </xf>
    <xf numFmtId="43" fontId="34" fillId="3" borderId="1" xfId="1" applyFont="1" applyFill="1" applyBorder="1" applyAlignment="1">
      <alignment horizontal="right" vertical="top" wrapText="1"/>
    </xf>
    <xf numFmtId="43" fontId="35" fillId="3" borderId="1" xfId="1" applyFont="1" applyFill="1" applyBorder="1" applyAlignment="1">
      <alignment horizontal="right" vertical="top" shrinkToFit="1"/>
    </xf>
    <xf numFmtId="43" fontId="35" fillId="3" borderId="1" xfId="1" applyFont="1" applyFill="1" applyBorder="1" applyAlignment="1">
      <alignment horizontal="center" vertical="top" shrinkToFit="1"/>
    </xf>
    <xf numFmtId="187" fontId="36" fillId="3" borderId="1" xfId="0" applyNumberFormat="1" applyFont="1" applyFill="1" applyBorder="1" applyAlignment="1">
      <alignment vertical="top" shrinkToFit="1"/>
    </xf>
    <xf numFmtId="188" fontId="33" fillId="3" borderId="1" xfId="1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43" fontId="35" fillId="3" borderId="1" xfId="1" applyFont="1" applyFill="1" applyBorder="1" applyAlignment="1">
      <alignment vertical="top" shrinkToFit="1"/>
    </xf>
    <xf numFmtId="0" fontId="35" fillId="3" borderId="1" xfId="0" applyFont="1" applyFill="1" applyBorder="1" applyAlignment="1">
      <alignment vertical="top" shrinkToFit="1"/>
    </xf>
    <xf numFmtId="43" fontId="13" fillId="3" borderId="1" xfId="0" applyNumberFormat="1" applyFont="1" applyFill="1" applyBorder="1" applyAlignment="1">
      <alignment vertical="top" shrinkToFit="1"/>
    </xf>
    <xf numFmtId="43" fontId="22" fillId="3" borderId="1" xfId="1" applyFont="1" applyFill="1" applyBorder="1" applyAlignment="1">
      <alignment vertical="top" shrinkToFit="1"/>
    </xf>
    <xf numFmtId="0" fontId="30" fillId="3" borderId="1" xfId="0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43" fontId="18" fillId="3" borderId="1" xfId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horizontal="center" vertical="top"/>
    </xf>
    <xf numFmtId="189" fontId="18" fillId="3" borderId="1" xfId="1" applyNumberFormat="1" applyFont="1" applyFill="1" applyBorder="1" applyAlignment="1">
      <alignment vertical="top"/>
    </xf>
    <xf numFmtId="189" fontId="30" fillId="3" borderId="1" xfId="1" applyNumberFormat="1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right" wrapText="1"/>
    </xf>
    <xf numFmtId="4" fontId="18" fillId="3" borderId="1" xfId="0" applyNumberFormat="1" applyFont="1" applyFill="1" applyBorder="1" applyAlignment="1">
      <alignment horizontal="right" wrapText="1"/>
    </xf>
    <xf numFmtId="4" fontId="18" fillId="3" borderId="1" xfId="0" applyNumberFormat="1" applyFont="1" applyFill="1" applyBorder="1"/>
    <xf numFmtId="189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18" fillId="3" borderId="1" xfId="0" applyFont="1" applyFill="1" applyBorder="1"/>
    <xf numFmtId="0" fontId="21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4" fontId="18" fillId="0" borderId="2" xfId="0" applyNumberFormat="1" applyFont="1" applyBorder="1" applyAlignment="1">
      <alignment horizontal="right" wrapText="1"/>
    </xf>
    <xf numFmtId="0" fontId="18" fillId="0" borderId="2" xfId="0" applyFont="1" applyBorder="1"/>
    <xf numFmtId="4" fontId="13" fillId="0" borderId="2" xfId="0" applyNumberFormat="1" applyFont="1" applyBorder="1"/>
    <xf numFmtId="0" fontId="12" fillId="0" borderId="1" xfId="0" applyFont="1" applyBorder="1" applyAlignment="1">
      <alignment vertical="top" shrinkToFit="1"/>
    </xf>
    <xf numFmtId="0" fontId="19" fillId="0" borderId="1" xfId="0" applyFont="1" applyBorder="1" applyAlignment="1">
      <alignment horizontal="left" vertical="top" shrinkToFit="1"/>
    </xf>
    <xf numFmtId="0" fontId="12" fillId="3" borderId="1" xfId="0" applyFont="1" applyFill="1" applyBorder="1" applyAlignment="1">
      <alignment vertical="top" shrinkToFit="1"/>
    </xf>
    <xf numFmtId="0" fontId="11" fillId="3" borderId="1" xfId="0" applyFont="1" applyFill="1" applyBorder="1" applyAlignment="1">
      <alignment vertical="top" shrinkToFit="1"/>
    </xf>
    <xf numFmtId="0" fontId="27" fillId="0" borderId="0" xfId="2" applyFont="1"/>
    <xf numFmtId="0" fontId="41" fillId="0" borderId="1" xfId="2" applyFont="1" applyBorder="1" applyAlignment="1">
      <alignment horizontal="center"/>
    </xf>
    <xf numFmtId="187" fontId="41" fillId="0" borderId="1" xfId="3" applyFont="1" applyBorder="1" applyAlignment="1">
      <alignment horizontal="center"/>
    </xf>
    <xf numFmtId="3" fontId="41" fillId="0" borderId="1" xfId="2" applyNumberFormat="1" applyFont="1" applyBorder="1" applyAlignment="1">
      <alignment horizontal="center"/>
    </xf>
    <xf numFmtId="0" fontId="44" fillId="0" borderId="1" xfId="2" applyFont="1" applyBorder="1" applyAlignment="1">
      <alignment vertical="center" wrapText="1"/>
    </xf>
    <xf numFmtId="187" fontId="44" fillId="0" borderId="1" xfId="3" applyFont="1" applyBorder="1" applyAlignment="1">
      <alignment vertical="top" shrinkToFit="1"/>
    </xf>
    <xf numFmtId="187" fontId="44" fillId="0" borderId="1" xfId="3" applyFont="1" applyBorder="1" applyAlignment="1">
      <alignment horizontal="center" vertical="top" shrinkToFit="1"/>
    </xf>
    <xf numFmtId="187" fontId="41" fillId="0" borderId="1" xfId="3" applyFont="1" applyBorder="1" applyAlignment="1">
      <alignment vertical="top" shrinkToFit="1"/>
    </xf>
    <xf numFmtId="3" fontId="44" fillId="0" borderId="1" xfId="2" applyNumberFormat="1" applyFont="1" applyBorder="1" applyAlignment="1">
      <alignment horizontal="center" vertical="top" shrinkToFit="1"/>
    </xf>
    <xf numFmtId="0" fontId="44" fillId="0" borderId="1" xfId="2" applyFont="1" applyBorder="1" applyAlignment="1">
      <alignment horizontal="center" vertical="top" shrinkToFit="1"/>
    </xf>
    <xf numFmtId="187" fontId="44" fillId="0" borderId="1" xfId="2" applyNumberFormat="1" applyFont="1" applyBorder="1" applyAlignment="1">
      <alignment vertical="top" shrinkToFit="1"/>
    </xf>
    <xf numFmtId="0" fontId="44" fillId="0" borderId="1" xfId="2" applyFont="1" applyBorder="1" applyAlignment="1">
      <alignment horizontal="center" vertical="top" wrapText="1"/>
    </xf>
    <xf numFmtId="0" fontId="44" fillId="0" borderId="1" xfId="2" applyFont="1" applyBorder="1" applyAlignment="1">
      <alignment horizontal="left" wrapText="1"/>
    </xf>
    <xf numFmtId="0" fontId="44" fillId="0" borderId="7" xfId="2" applyFont="1" applyBorder="1" applyAlignment="1">
      <alignment horizontal="left" wrapText="1"/>
    </xf>
    <xf numFmtId="187" fontId="44" fillId="0" borderId="7" xfId="3" applyFont="1" applyBorder="1" applyAlignment="1">
      <alignment vertical="top" shrinkToFit="1"/>
    </xf>
    <xf numFmtId="187" fontId="44" fillId="0" borderId="7" xfId="3" applyFont="1" applyBorder="1" applyAlignment="1">
      <alignment horizontal="center" vertical="top" shrinkToFit="1"/>
    </xf>
    <xf numFmtId="187" fontId="41" fillId="0" borderId="7" xfId="3" applyFont="1" applyBorder="1" applyAlignment="1">
      <alignment vertical="top" shrinkToFit="1"/>
    </xf>
    <xf numFmtId="3" fontId="44" fillId="0" borderId="7" xfId="2" applyNumberFormat="1" applyFont="1" applyBorder="1" applyAlignment="1">
      <alignment horizontal="center" vertical="top" shrinkToFit="1"/>
    </xf>
    <xf numFmtId="0" fontId="44" fillId="0" borderId="7" xfId="2" applyFont="1" applyBorder="1" applyAlignment="1">
      <alignment horizontal="center" vertical="top" shrinkToFit="1"/>
    </xf>
    <xf numFmtId="0" fontId="41" fillId="0" borderId="13" xfId="2" applyFont="1" applyBorder="1" applyAlignment="1">
      <alignment horizontal="center"/>
    </xf>
    <xf numFmtId="187" fontId="41" fillId="0" borderId="13" xfId="3" applyFont="1" applyBorder="1" applyAlignment="1">
      <alignment shrinkToFit="1"/>
    </xf>
    <xf numFmtId="3" fontId="41" fillId="0" borderId="13" xfId="2" applyNumberFormat="1" applyFont="1" applyBorder="1" applyAlignment="1">
      <alignment shrinkToFit="1"/>
    </xf>
    <xf numFmtId="0" fontId="41" fillId="0" borderId="13" xfId="2" applyFont="1" applyBorder="1" applyAlignment="1">
      <alignment horizontal="center" shrinkToFit="1"/>
    </xf>
    <xf numFmtId="0" fontId="41" fillId="0" borderId="13" xfId="2" applyFont="1" applyBorder="1" applyAlignment="1">
      <alignment shrinkToFit="1"/>
    </xf>
    <xf numFmtId="187" fontId="6" fillId="0" borderId="1" xfId="3" applyFont="1" applyBorder="1" applyAlignment="1">
      <alignment vertical="top" shrinkToFit="1"/>
    </xf>
    <xf numFmtId="187" fontId="6" fillId="0" borderId="1" xfId="3" applyFont="1" applyBorder="1" applyAlignment="1">
      <alignment horizontal="center" vertical="top" shrinkToFit="1"/>
    </xf>
    <xf numFmtId="0" fontId="6" fillId="0" borderId="1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top"/>
    </xf>
    <xf numFmtId="189" fontId="18" fillId="3" borderId="1" xfId="1" applyNumberFormat="1" applyFont="1" applyFill="1" applyBorder="1" applyAlignment="1">
      <alignment vertical="top" shrinkToFit="1"/>
    </xf>
    <xf numFmtId="189" fontId="18" fillId="3" borderId="1" xfId="1" applyNumberFormat="1" applyFont="1" applyFill="1" applyBorder="1" applyAlignment="1">
      <alignment vertical="top" wrapText="1"/>
    </xf>
    <xf numFmtId="0" fontId="20" fillId="3" borderId="0" xfId="0" applyFont="1" applyFill="1"/>
    <xf numFmtId="2" fontId="30" fillId="3" borderId="1" xfId="0" applyNumberFormat="1" applyFont="1" applyFill="1" applyBorder="1" applyAlignment="1">
      <alignment vertical="top" shrinkToFit="1"/>
    </xf>
    <xf numFmtId="2" fontId="22" fillId="3" borderId="1" xfId="0" applyNumberFormat="1" applyFont="1" applyFill="1" applyBorder="1" applyAlignment="1">
      <alignment vertical="top" shrinkToFit="1"/>
    </xf>
    <xf numFmtId="0" fontId="8" fillId="3" borderId="0" xfId="0" applyFont="1" applyFill="1"/>
    <xf numFmtId="2" fontId="18" fillId="3" borderId="1" xfId="0" applyNumberFormat="1" applyFont="1" applyFill="1" applyBorder="1" applyAlignment="1">
      <alignment vertical="top" wrapText="1"/>
    </xf>
    <xf numFmtId="43" fontId="35" fillId="3" borderId="1" xfId="1" applyFont="1" applyFill="1" applyBorder="1" applyAlignment="1">
      <alignment vertical="top" wrapText="1"/>
    </xf>
    <xf numFmtId="0" fontId="35" fillId="3" borderId="0" xfId="0" applyFont="1" applyFill="1"/>
    <xf numFmtId="43" fontId="13" fillId="3" borderId="1" xfId="1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wrapText="1"/>
    </xf>
    <xf numFmtId="0" fontId="41" fillId="0" borderId="1" xfId="0" applyFont="1" applyBorder="1" applyAlignment="1">
      <alignment horizontal="center" vertical="top"/>
    </xf>
    <xf numFmtId="187" fontId="22" fillId="0" borderId="1" xfId="1" applyNumberFormat="1" applyFont="1" applyBorder="1" applyAlignment="1">
      <alignment vertical="top" shrinkToFit="1"/>
    </xf>
    <xf numFmtId="43" fontId="30" fillId="3" borderId="1" xfId="1" applyFont="1" applyFill="1" applyBorder="1" applyAlignment="1">
      <alignment vertical="top"/>
    </xf>
    <xf numFmtId="0" fontId="12" fillId="10" borderId="7" xfId="0" applyFont="1" applyFill="1" applyBorder="1" applyAlignment="1">
      <alignment vertical="top" wrapText="1"/>
    </xf>
    <xf numFmtId="4" fontId="18" fillId="10" borderId="7" xfId="0" applyNumberFormat="1" applyFont="1" applyFill="1" applyBorder="1" applyAlignment="1">
      <alignment horizontal="right" vertical="top" wrapText="1"/>
    </xf>
    <xf numFmtId="4" fontId="13" fillId="10" borderId="7" xfId="0" applyNumberFormat="1" applyFont="1" applyFill="1" applyBorder="1" applyAlignment="1">
      <alignment vertical="top"/>
    </xf>
    <xf numFmtId="3" fontId="18" fillId="10" borderId="7" xfId="0" applyNumberFormat="1" applyFont="1" applyFill="1" applyBorder="1" applyAlignment="1">
      <alignment vertical="top"/>
    </xf>
    <xf numFmtId="4" fontId="18" fillId="10" borderId="7" xfId="0" applyNumberFormat="1" applyFont="1" applyFill="1" applyBorder="1" applyAlignment="1">
      <alignment horizontal="center" vertical="top"/>
    </xf>
    <xf numFmtId="4" fontId="18" fillId="10" borderId="7" xfId="0" applyNumberFormat="1" applyFont="1" applyFill="1" applyBorder="1" applyAlignment="1">
      <alignment vertical="top"/>
    </xf>
    <xf numFmtId="43" fontId="30" fillId="10" borderId="7" xfId="1" applyFont="1" applyFill="1" applyBorder="1" applyAlignment="1">
      <alignment horizontal="center" vertical="top"/>
    </xf>
    <xf numFmtId="43" fontId="18" fillId="10" borderId="7" xfId="1" applyFont="1" applyFill="1" applyBorder="1" applyAlignment="1">
      <alignment vertical="top"/>
    </xf>
    <xf numFmtId="187" fontId="30" fillId="3" borderId="1" xfId="1" applyNumberFormat="1" applyFont="1" applyFill="1" applyBorder="1" applyAlignment="1">
      <alignment vertical="top" shrinkToFit="1"/>
    </xf>
    <xf numFmtId="4" fontId="18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center"/>
    </xf>
    <xf numFmtId="190" fontId="22" fillId="3" borderId="1" xfId="1" applyNumberFormat="1" applyFont="1" applyFill="1" applyBorder="1" applyAlignment="1">
      <alignment horizontal="right" vertical="top"/>
    </xf>
    <xf numFmtId="0" fontId="8" fillId="8" borderId="1" xfId="0" applyFont="1" applyFill="1" applyBorder="1" applyAlignment="1">
      <alignment horizontal="center" vertical="top"/>
    </xf>
    <xf numFmtId="0" fontId="36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3" fontId="14" fillId="0" borderId="7" xfId="1" applyFont="1" applyBorder="1" applyAlignment="1">
      <alignment horizontal="center" vertical="center" wrapText="1"/>
    </xf>
    <xf numFmtId="43" fontId="14" fillId="0" borderId="8" xfId="1" applyFont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3" fontId="11" fillId="3" borderId="6" xfId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43" fontId="11" fillId="3" borderId="7" xfId="1" applyFont="1" applyFill="1" applyBorder="1" applyAlignment="1">
      <alignment horizontal="center" vertical="center" shrinkToFit="1"/>
    </xf>
    <xf numFmtId="43" fontId="11" fillId="3" borderId="8" xfId="1" applyFont="1" applyFill="1" applyBorder="1" applyAlignment="1">
      <alignment horizontal="center" vertical="center" shrinkToFit="1"/>
    </xf>
    <xf numFmtId="4" fontId="18" fillId="3" borderId="7" xfId="0" applyNumberFormat="1" applyFont="1" applyFill="1" applyBorder="1" applyAlignment="1">
      <alignment horizontal="right" vertical="top" wrapText="1"/>
    </xf>
    <xf numFmtId="4" fontId="18" fillId="3" borderId="8" xfId="0" applyNumberFormat="1" applyFont="1" applyFill="1" applyBorder="1" applyAlignment="1">
      <alignment horizontal="right" vertical="top" wrapText="1"/>
    </xf>
    <xf numFmtId="4" fontId="18" fillId="3" borderId="15" xfId="0" applyNumberFormat="1" applyFont="1" applyFill="1" applyBorder="1" applyAlignment="1">
      <alignment horizontal="right" vertical="top" wrapText="1"/>
    </xf>
    <xf numFmtId="4" fontId="18" fillId="3" borderId="7" xfId="0" applyNumberFormat="1" applyFont="1" applyFill="1" applyBorder="1" applyAlignment="1">
      <alignment horizontal="center" vertical="top"/>
    </xf>
    <xf numFmtId="4" fontId="18" fillId="3" borderId="8" xfId="0" applyNumberFormat="1" applyFont="1" applyFill="1" applyBorder="1" applyAlignment="1">
      <alignment horizontal="center" vertical="top"/>
    </xf>
    <xf numFmtId="4" fontId="18" fillId="3" borderId="15" xfId="0" applyNumberFormat="1" applyFont="1" applyFill="1" applyBorder="1" applyAlignment="1">
      <alignment horizontal="center" vertical="top"/>
    </xf>
    <xf numFmtId="43" fontId="18" fillId="3" borderId="7" xfId="1" applyFont="1" applyFill="1" applyBorder="1" applyAlignment="1">
      <alignment horizontal="center" vertical="top"/>
    </xf>
    <xf numFmtId="43" fontId="18" fillId="3" borderId="8" xfId="1" applyFont="1" applyFill="1" applyBorder="1" applyAlignment="1">
      <alignment horizontal="center" vertical="top"/>
    </xf>
    <xf numFmtId="43" fontId="18" fillId="3" borderId="15" xfId="1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8" fillId="0" borderId="0" xfId="7" applyFont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vertical="top" wrapText="1"/>
    </xf>
    <xf numFmtId="4" fontId="13" fillId="3" borderId="8" xfId="0" applyNumberFormat="1" applyFont="1" applyFill="1" applyBorder="1" applyAlignment="1">
      <alignment horizontal="right" vertical="top" wrapText="1"/>
    </xf>
    <xf numFmtId="4" fontId="13" fillId="3" borderId="15" xfId="0" applyNumberFormat="1" applyFont="1" applyFill="1" applyBorder="1" applyAlignment="1">
      <alignment horizontal="right" vertical="top" wrapText="1"/>
    </xf>
    <xf numFmtId="43" fontId="18" fillId="3" borderId="7" xfId="1" applyFont="1" applyFill="1" applyBorder="1" applyAlignment="1">
      <alignment horizontal="right" vertical="top"/>
    </xf>
    <xf numFmtId="43" fontId="18" fillId="3" borderId="8" xfId="1" applyFont="1" applyFill="1" applyBorder="1" applyAlignment="1">
      <alignment horizontal="right" vertical="top"/>
    </xf>
    <xf numFmtId="43" fontId="18" fillId="3" borderId="15" xfId="1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/>
    </xf>
    <xf numFmtId="0" fontId="30" fillId="0" borderId="7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3" fontId="18" fillId="3" borderId="1" xfId="0" applyNumberFormat="1" applyFont="1" applyFill="1" applyBorder="1" applyAlignment="1">
      <alignment horizontal="right" vertical="top"/>
    </xf>
    <xf numFmtId="0" fontId="30" fillId="0" borderId="1" xfId="0" applyFont="1" applyBorder="1" applyAlignment="1">
      <alignment horizontal="center" vertical="top"/>
    </xf>
    <xf numFmtId="43" fontId="18" fillId="3" borderId="1" xfId="1" applyFont="1" applyFill="1" applyBorder="1" applyAlignment="1">
      <alignment horizontal="center" vertical="top"/>
    </xf>
    <xf numFmtId="0" fontId="27" fillId="8" borderId="2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8" fillId="3" borderId="0" xfId="7" applyFont="1" applyFill="1" applyAlignment="1">
      <alignment horizontal="center" vertical="top"/>
    </xf>
    <xf numFmtId="0" fontId="25" fillId="3" borderId="1" xfId="2" applyFont="1" applyFill="1" applyBorder="1" applyAlignment="1">
      <alignment horizontal="center"/>
    </xf>
    <xf numFmtId="0" fontId="25" fillId="3" borderId="2" xfId="2" applyFont="1" applyFill="1" applyBorder="1" applyAlignment="1">
      <alignment horizontal="center"/>
    </xf>
    <xf numFmtId="0" fontId="25" fillId="3" borderId="3" xfId="2" applyFont="1" applyFill="1" applyBorder="1" applyAlignment="1">
      <alignment horizontal="center"/>
    </xf>
    <xf numFmtId="0" fontId="25" fillId="3" borderId="4" xfId="2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1" fillId="0" borderId="2" xfId="7" applyFont="1" applyBorder="1" applyAlignment="1">
      <alignment horizontal="center" vertical="center"/>
    </xf>
    <xf numFmtId="0" fontId="41" fillId="0" borderId="3" xfId="7" applyFont="1" applyBorder="1" applyAlignment="1">
      <alignment horizontal="center" vertical="center"/>
    </xf>
    <xf numFmtId="0" fontId="41" fillId="0" borderId="4" xfId="7" applyFont="1" applyBorder="1" applyAlignment="1">
      <alignment horizontal="center" vertical="center"/>
    </xf>
    <xf numFmtId="0" fontId="8" fillId="0" borderId="0" xfId="7" applyFont="1" applyAlignment="1">
      <alignment horizontal="center"/>
    </xf>
    <xf numFmtId="0" fontId="8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top"/>
    </xf>
    <xf numFmtId="0" fontId="27" fillId="8" borderId="4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41" fillId="3" borderId="17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top"/>
    </xf>
    <xf numFmtId="0" fontId="41" fillId="3" borderId="3" xfId="0" applyFont="1" applyFill="1" applyBorder="1" applyAlignment="1">
      <alignment horizontal="center" vertical="top"/>
    </xf>
    <xf numFmtId="0" fontId="41" fillId="3" borderId="4" xfId="0" applyFont="1" applyFill="1" applyBorder="1" applyAlignment="1">
      <alignment horizontal="center" vertical="top"/>
    </xf>
    <xf numFmtId="0" fontId="41" fillId="3" borderId="1" xfId="0" applyFont="1" applyFill="1" applyBorder="1" applyAlignment="1">
      <alignment horizontal="center" vertical="top"/>
    </xf>
    <xf numFmtId="4" fontId="41" fillId="3" borderId="17" xfId="3" applyNumberFormat="1" applyFont="1" applyFill="1" applyBorder="1" applyAlignment="1">
      <alignment horizontal="center" vertical="center"/>
    </xf>
    <xf numFmtId="4" fontId="41" fillId="3" borderId="20" xfId="3" applyNumberFormat="1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top" wrapText="1"/>
    </xf>
    <xf numFmtId="0" fontId="44" fillId="3" borderId="4" xfId="0" applyFont="1" applyFill="1" applyBorder="1" applyAlignment="1">
      <alignment horizontal="center" vertical="top" wrapText="1"/>
    </xf>
    <xf numFmtId="187" fontId="41" fillId="3" borderId="22" xfId="3" applyFont="1" applyFill="1" applyBorder="1" applyAlignment="1">
      <alignment horizontal="center" vertical="top" wrapText="1"/>
    </xf>
    <xf numFmtId="187" fontId="41" fillId="3" borderId="23" xfId="3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0" fontId="41" fillId="3" borderId="4" xfId="0" applyFont="1" applyFill="1" applyBorder="1" applyAlignment="1">
      <alignment horizontal="center" vertical="top" wrapText="1"/>
    </xf>
    <xf numFmtId="0" fontId="44" fillId="3" borderId="2" xfId="0" applyFont="1" applyFill="1" applyBorder="1" applyAlignment="1">
      <alignment horizontal="left" vertical="top" wrapText="1"/>
    </xf>
    <xf numFmtId="0" fontId="44" fillId="3" borderId="4" xfId="0" applyFont="1" applyFill="1" applyBorder="1" applyAlignment="1">
      <alignment horizontal="left" vertical="top" wrapText="1"/>
    </xf>
  </cellXfs>
  <cellStyles count="10">
    <cellStyle name="Comma" xfId="1" builtinId="3"/>
    <cellStyle name="Comma 2 2" xfId="4" xr:uid="{00000000-0005-0000-0000-000001000000}"/>
    <cellStyle name="Comma 3" xfId="3" xr:uid="{00000000-0005-0000-0000-000002000000}"/>
    <cellStyle name="Normal" xfId="0" builtinId="0"/>
    <cellStyle name="Normal 11" xfId="5" xr:uid="{00000000-0005-0000-0000-000004000000}"/>
    <cellStyle name="Normal 15" xfId="6" xr:uid="{00000000-0005-0000-0000-000005000000}"/>
    <cellStyle name="Normal 2" xfId="2" xr:uid="{00000000-0005-0000-0000-000006000000}"/>
    <cellStyle name="Normal 31" xfId="8" xr:uid="{00000000-0005-0000-0000-000007000000}"/>
    <cellStyle name="Normal 4" xfId="7" xr:uid="{00000000-0005-0000-0000-000008000000}"/>
    <cellStyle name="Normal 67" xfId="9" xr:uid="{00000000-0005-0000-0000-000009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9;&#3585;&#3609;&#3626;&#3656;&#3591;&#3585;&#3619;&#3617;&#3610;&#3633;&#3597;&#3594;&#3637;&#3585;&#3621;&#3634;&#3591;/&#3605;&#3634;&#3619;&#3634;&#3591;%201-12(&#3605;&#3657;&#3609;&#3607;&#3640;&#3609;&#3611;&#3637;%2060)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10;&#3636;&#3585;&#3649;&#3607;&#3609;%20&#3585;.&#3618;.61\&#3605;&#3634;&#3619;&#3634;&#3591;%201-12(&#3605;&#3657;&#3609;&#3607;&#3640;&#3609;&#3611;&#3637;%2060)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1"/>
      <sheetName val="ตาราง 2"/>
      <sheetName val="ตาราง 3"/>
      <sheetName val="ตาราง 3 (2)"/>
      <sheetName val="ตาราง 7 (2)"/>
      <sheetName val="ตาราง 4"/>
      <sheetName val="ตาราง 4 (2)"/>
      <sheetName val="ตาราง 5"/>
      <sheetName val="ตาราง 6"/>
      <sheetName val="ตาราง 7"/>
      <sheetName val="วิเคราะห์ตารางที่ 7"/>
      <sheetName val="ตาราง 8"/>
      <sheetName val="วิเคราะห์ตางรางที่ 8"/>
      <sheetName val="ตาราง 9"/>
      <sheetName val="วิเคราะห์ตารางที่ 9"/>
      <sheetName val="ตาราง 10"/>
      <sheetName val="วิเคราะห์ตารางที่ 10"/>
      <sheetName val="ตาราง 11"/>
      <sheetName val="วิเคราะห์ตาราง 11"/>
      <sheetName val="ตาราง 12"/>
      <sheetName val="วิเคราะห์ตารางที่ 12"/>
    </sheetNames>
    <sheetDataSet>
      <sheetData sheetId="0"/>
      <sheetData sheetId="1"/>
      <sheetData sheetId="2">
        <row r="7">
          <cell r="C7">
            <v>199990</v>
          </cell>
        </row>
        <row r="10">
          <cell r="C10">
            <v>1558560</v>
          </cell>
        </row>
        <row r="12">
          <cell r="C12">
            <v>13500000</v>
          </cell>
        </row>
        <row r="17">
          <cell r="C17">
            <v>480000</v>
          </cell>
        </row>
        <row r="20">
          <cell r="C20">
            <v>14895370.93</v>
          </cell>
        </row>
        <row r="27">
          <cell r="C27">
            <v>6631900</v>
          </cell>
        </row>
        <row r="30">
          <cell r="C30">
            <v>73642991.210000008</v>
          </cell>
        </row>
        <row r="35">
          <cell r="C35">
            <v>34966859</v>
          </cell>
        </row>
        <row r="38">
          <cell r="C38">
            <v>64632234.619999997</v>
          </cell>
        </row>
        <row r="81">
          <cell r="C81">
            <v>341410280.10000002</v>
          </cell>
        </row>
      </sheetData>
      <sheetData sheetId="3"/>
      <sheetData sheetId="4"/>
      <sheetData sheetId="5">
        <row r="5">
          <cell r="B5">
            <v>199990</v>
          </cell>
        </row>
        <row r="7">
          <cell r="B7">
            <v>1558560</v>
          </cell>
        </row>
        <row r="8">
          <cell r="B8">
            <v>13500000</v>
          </cell>
        </row>
        <row r="9">
          <cell r="B9">
            <v>341410280.10000002</v>
          </cell>
        </row>
        <row r="10">
          <cell r="B10">
            <v>15375370.93</v>
          </cell>
        </row>
        <row r="11">
          <cell r="B11">
            <v>6631900</v>
          </cell>
        </row>
        <row r="12">
          <cell r="B12">
            <v>73642991.210000008</v>
          </cell>
        </row>
        <row r="13">
          <cell r="B13">
            <v>99599093.620000005</v>
          </cell>
        </row>
        <row r="14">
          <cell r="B14">
            <v>16346384.629999999</v>
          </cell>
        </row>
        <row r="16">
          <cell r="B16">
            <v>199249091.40000001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1"/>
      <sheetName val="ตาราง 2"/>
      <sheetName val="ตาราง 3"/>
      <sheetName val="ตาราง 3 (2)"/>
      <sheetName val="ตาราง 7 (2)"/>
      <sheetName val="ตาราง 4"/>
      <sheetName val="ตาราง 4 (2)"/>
      <sheetName val="ตาราง 5"/>
      <sheetName val="ตาราง 6"/>
      <sheetName val="ตาราง 7"/>
      <sheetName val="วิเคราะห์ตารางที่ 7"/>
      <sheetName val="ตาราง 8"/>
      <sheetName val="วิเคราะห์ตางรางที่ 8"/>
      <sheetName val="ตาราง 9"/>
      <sheetName val="วิเคราะห์ตารางที่ 9"/>
      <sheetName val="ตาราง 10"/>
      <sheetName val="วิเคราะห์ตารางที่ 10"/>
      <sheetName val="ตาราง 11"/>
      <sheetName val="วิเคราะห์ตาราง 11"/>
      <sheetName val="ตาราง 12"/>
      <sheetName val="วิเคราะห์ตารางที่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>
            <v>199249091.40000001</v>
          </cell>
        </row>
        <row r="5">
          <cell r="B5">
            <v>1758550</v>
          </cell>
        </row>
        <row r="6">
          <cell r="B6">
            <v>13500000</v>
          </cell>
        </row>
        <row r="7">
          <cell r="B7">
            <v>189588469.46000001</v>
          </cell>
        </row>
        <row r="9">
          <cell r="B9">
            <v>356785651.03000003</v>
          </cell>
        </row>
        <row r="10">
          <cell r="B10">
            <v>6631900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view="pageBreakPreview" zoomScaleNormal="100" zoomScaleSheetLayoutView="100" workbookViewId="0">
      <selection activeCell="E24" sqref="E24"/>
    </sheetView>
  </sheetViews>
  <sheetFormatPr defaultRowHeight="21" x14ac:dyDescent="0.35"/>
  <cols>
    <col min="1" max="1" width="9.140625" style="2"/>
    <col min="2" max="2" width="10.28515625" style="2" customWidth="1"/>
    <col min="3" max="3" width="22.7109375" style="2" customWidth="1"/>
    <col min="4" max="4" width="46.42578125" style="2" bestFit="1" customWidth="1"/>
    <col min="5" max="6" width="17.28515625" style="2" bestFit="1" customWidth="1"/>
    <col min="7" max="7" width="18.7109375" style="2" bestFit="1" customWidth="1"/>
    <col min="8" max="8" width="17.28515625" style="2" bestFit="1" customWidth="1"/>
    <col min="9" max="9" width="9.140625" style="2"/>
    <col min="10" max="10" width="17.28515625" style="2" bestFit="1" customWidth="1"/>
    <col min="11" max="16384" width="9.140625" style="2"/>
  </cols>
  <sheetData>
    <row r="1" spans="2:10" ht="23.25" x14ac:dyDescent="0.35">
      <c r="B1" s="545" t="s">
        <v>8</v>
      </c>
      <c r="C1" s="545"/>
      <c r="D1" s="545"/>
      <c r="E1" s="545"/>
      <c r="F1" s="545"/>
      <c r="G1" s="545"/>
      <c r="H1" s="545"/>
    </row>
    <row r="2" spans="2:10" ht="23.25" x14ac:dyDescent="0.35">
      <c r="B2" s="545" t="s">
        <v>9</v>
      </c>
      <c r="C2" s="545"/>
      <c r="D2" s="545"/>
      <c r="E2" s="545"/>
      <c r="F2" s="545"/>
      <c r="G2" s="545"/>
      <c r="H2" s="545"/>
    </row>
    <row r="3" spans="2:10" ht="23.25" x14ac:dyDescent="0.35">
      <c r="B3" s="545" t="s">
        <v>10</v>
      </c>
      <c r="C3" s="545"/>
      <c r="D3" s="545"/>
      <c r="E3" s="545"/>
      <c r="F3" s="545"/>
      <c r="G3" s="545"/>
      <c r="H3" s="545"/>
    </row>
    <row r="5" spans="2:10" x14ac:dyDescent="0.35">
      <c r="B5" s="1" t="s">
        <v>11</v>
      </c>
      <c r="C5" s="1"/>
      <c r="D5" s="1"/>
      <c r="H5" s="480" t="s">
        <v>240</v>
      </c>
    </row>
    <row r="6" spans="2:10" s="1" customFormat="1" x14ac:dyDescent="0.35">
      <c r="B6" s="546" t="s">
        <v>12</v>
      </c>
      <c r="C6" s="547"/>
      <c r="D6" s="548"/>
      <c r="E6" s="7" t="s">
        <v>175</v>
      </c>
      <c r="F6" s="7" t="s">
        <v>176</v>
      </c>
      <c r="G6" s="7" t="s">
        <v>0</v>
      </c>
      <c r="H6" s="7" t="s">
        <v>1</v>
      </c>
    </row>
    <row r="7" spans="2:10" x14ac:dyDescent="0.35">
      <c r="B7" s="549" t="s">
        <v>13</v>
      </c>
      <c r="C7" s="550"/>
      <c r="D7" s="551"/>
      <c r="E7" s="3">
        <v>512933804.79999995</v>
      </c>
      <c r="F7" s="3">
        <v>61911679.160000019</v>
      </c>
      <c r="G7" s="3">
        <v>54977713.699999973</v>
      </c>
      <c r="H7" s="3">
        <f>SUM(E7:G7)</f>
        <v>629823197.65999985</v>
      </c>
    </row>
    <row r="8" spans="2:10" x14ac:dyDescent="0.35">
      <c r="B8" s="549" t="s">
        <v>14</v>
      </c>
      <c r="C8" s="550"/>
      <c r="D8" s="551"/>
      <c r="E8" s="3">
        <v>143173173</v>
      </c>
      <c r="F8" s="3">
        <v>28531117.640000001</v>
      </c>
      <c r="G8" s="4"/>
      <c r="H8" s="3">
        <f t="shared" ref="H8:H14" si="0">SUM(E8:G8)</f>
        <v>171704290.63999999</v>
      </c>
    </row>
    <row r="9" spans="2:10" x14ac:dyDescent="0.35">
      <c r="B9" s="549" t="s">
        <v>15</v>
      </c>
      <c r="C9" s="550"/>
      <c r="D9" s="551"/>
      <c r="E9" s="3">
        <v>80618496.640000015</v>
      </c>
      <c r="F9" s="3">
        <v>8855850.9400000013</v>
      </c>
      <c r="G9" s="4"/>
      <c r="H9" s="3">
        <f t="shared" si="0"/>
        <v>89474347.580000013</v>
      </c>
    </row>
    <row r="10" spans="2:10" x14ac:dyDescent="0.35">
      <c r="B10" s="549" t="s">
        <v>16</v>
      </c>
      <c r="C10" s="550"/>
      <c r="D10" s="551"/>
      <c r="E10" s="3">
        <v>451075336.20999992</v>
      </c>
      <c r="F10" s="3">
        <v>22126148.209999993</v>
      </c>
      <c r="G10" s="4"/>
      <c r="H10" s="3">
        <f t="shared" si="0"/>
        <v>473201484.4199999</v>
      </c>
    </row>
    <row r="11" spans="2:10" x14ac:dyDescent="0.35">
      <c r="B11" s="549" t="s">
        <v>17</v>
      </c>
      <c r="C11" s="550"/>
      <c r="D11" s="551"/>
      <c r="E11" s="3">
        <f>140901874.22+3541.55</f>
        <v>140905415.77000001</v>
      </c>
      <c r="F11" s="3">
        <f>43836031.62+17478.37</f>
        <v>43853509.989999995</v>
      </c>
      <c r="G11" s="3">
        <v>102766</v>
      </c>
      <c r="H11" s="3">
        <f t="shared" si="0"/>
        <v>184861691.75999999</v>
      </c>
    </row>
    <row r="12" spans="2:10" x14ac:dyDescent="0.35">
      <c r="B12" s="549" t="s">
        <v>18</v>
      </c>
      <c r="C12" s="550"/>
      <c r="D12" s="551"/>
      <c r="E12" s="3">
        <v>60000000</v>
      </c>
      <c r="F12" s="4"/>
      <c r="G12" s="4"/>
      <c r="H12" s="3">
        <f t="shared" si="0"/>
        <v>60000000</v>
      </c>
    </row>
    <row r="13" spans="2:10" x14ac:dyDescent="0.35">
      <c r="B13" s="549" t="s">
        <v>19</v>
      </c>
      <c r="C13" s="550"/>
      <c r="D13" s="551"/>
      <c r="E13" s="3">
        <v>303456770.10000002</v>
      </c>
      <c r="F13" s="3">
        <v>199412702.71000001</v>
      </c>
      <c r="G13" s="3">
        <v>255918356</v>
      </c>
      <c r="H13" s="3">
        <f t="shared" si="0"/>
        <v>758787828.81000006</v>
      </c>
    </row>
    <row r="14" spans="2:10" x14ac:dyDescent="0.35">
      <c r="B14" s="549" t="s">
        <v>20</v>
      </c>
      <c r="C14" s="550"/>
      <c r="D14" s="551"/>
      <c r="E14" s="3">
        <f>SUM(E15)</f>
        <v>671818865.51999998</v>
      </c>
      <c r="F14" s="3">
        <v>553415.39999999979</v>
      </c>
      <c r="G14" s="4"/>
      <c r="H14" s="3">
        <f t="shared" si="0"/>
        <v>672372280.91999996</v>
      </c>
    </row>
    <row r="15" spans="2:10" s="437" customFormat="1" hidden="1" x14ac:dyDescent="0.35">
      <c r="B15" s="431"/>
      <c r="C15" s="432" t="s">
        <v>22</v>
      </c>
      <c r="D15" s="433"/>
      <c r="E15" s="434">
        <v>671818865.51999998</v>
      </c>
      <c r="F15" s="435"/>
      <c r="G15" s="436"/>
      <c r="H15" s="435"/>
    </row>
    <row r="16" spans="2:10" s="1" customFormat="1" x14ac:dyDescent="0.35">
      <c r="B16" s="552" t="s">
        <v>21</v>
      </c>
      <c r="C16" s="553"/>
      <c r="D16" s="554"/>
      <c r="E16" s="5">
        <f>SUM(E7:E14)</f>
        <v>2363981862.04</v>
      </c>
      <c r="F16" s="5">
        <f>SUM(F7:F14)</f>
        <v>365244424.04999995</v>
      </c>
      <c r="G16" s="5">
        <f t="shared" ref="G16" si="1">SUM(G7:G14)</f>
        <v>310998835.69999999</v>
      </c>
      <c r="H16" s="5">
        <f>SUM(H7:H14)</f>
        <v>3040225121.79</v>
      </c>
      <c r="J16" s="6"/>
    </row>
    <row r="18" spans="2:7" s="8" customFormat="1" x14ac:dyDescent="0.35">
      <c r="B18" s="16" t="s">
        <v>23</v>
      </c>
    </row>
    <row r="19" spans="2:7" s="8" customFormat="1" x14ac:dyDescent="0.35">
      <c r="C19" s="8" t="s">
        <v>24</v>
      </c>
      <c r="G19" s="9">
        <v>2795646999.1300001</v>
      </c>
    </row>
    <row r="20" spans="2:7" s="8" customFormat="1" ht="23.25" x14ac:dyDescent="0.35">
      <c r="C20" s="10" t="s">
        <v>25</v>
      </c>
      <c r="G20" s="9"/>
    </row>
    <row r="21" spans="2:7" s="8" customFormat="1" x14ac:dyDescent="0.35">
      <c r="D21" s="8" t="s">
        <v>22</v>
      </c>
      <c r="F21" s="11"/>
      <c r="G21" s="12">
        <v>671818865.51999998</v>
      </c>
    </row>
    <row r="22" spans="2:7" s="8" customFormat="1" ht="23.25" x14ac:dyDescent="0.5">
      <c r="D22" s="18" t="s">
        <v>1</v>
      </c>
      <c r="F22" s="13"/>
      <c r="G22" s="14">
        <f>SUM(G19:G21)</f>
        <v>3467465864.6500001</v>
      </c>
    </row>
    <row r="23" spans="2:7" s="8" customFormat="1" ht="23.25" x14ac:dyDescent="0.5">
      <c r="C23" s="8" t="s">
        <v>26</v>
      </c>
    </row>
    <row r="24" spans="2:7" s="8" customFormat="1" x14ac:dyDescent="0.35">
      <c r="D24" s="8" t="s">
        <v>27</v>
      </c>
      <c r="F24" s="8">
        <v>105708179.83</v>
      </c>
    </row>
    <row r="25" spans="2:7" s="8" customFormat="1" x14ac:dyDescent="0.35">
      <c r="D25" s="8" t="s">
        <v>28</v>
      </c>
      <c r="F25" s="8">
        <v>213680</v>
      </c>
    </row>
    <row r="26" spans="2:7" s="8" customFormat="1" x14ac:dyDescent="0.35">
      <c r="D26" s="8" t="s">
        <v>29</v>
      </c>
      <c r="F26" s="8">
        <v>17279274.199999999</v>
      </c>
    </row>
    <row r="27" spans="2:7" s="8" customFormat="1" x14ac:dyDescent="0.35">
      <c r="D27" s="8" t="s">
        <v>30</v>
      </c>
      <c r="F27" s="8">
        <v>184012000</v>
      </c>
    </row>
    <row r="28" spans="2:7" s="8" customFormat="1" x14ac:dyDescent="0.35">
      <c r="D28" s="8" t="s">
        <v>31</v>
      </c>
      <c r="F28" s="8">
        <v>90912220.399999961</v>
      </c>
    </row>
    <row r="29" spans="2:7" s="8" customFormat="1" x14ac:dyDescent="0.35">
      <c r="D29" s="8" t="s">
        <v>32</v>
      </c>
      <c r="F29" s="8">
        <v>5253228.5200000005</v>
      </c>
    </row>
    <row r="30" spans="2:7" s="8" customFormat="1" x14ac:dyDescent="0.35">
      <c r="D30" s="8" t="s">
        <v>33</v>
      </c>
      <c r="F30" s="8">
        <v>19083250.510000002</v>
      </c>
    </row>
    <row r="31" spans="2:7" s="8" customFormat="1" x14ac:dyDescent="0.35">
      <c r="D31" s="8" t="s">
        <v>34</v>
      </c>
      <c r="F31" s="19">
        <v>-7100</v>
      </c>
    </row>
    <row r="32" spans="2:7" s="8" customFormat="1" x14ac:dyDescent="0.35">
      <c r="D32" s="8" t="s">
        <v>35</v>
      </c>
      <c r="F32" s="8">
        <v>4786009.3999999985</v>
      </c>
      <c r="G32" s="15">
        <f>SUM(F24:F32)</f>
        <v>427240742.8599999</v>
      </c>
    </row>
    <row r="33" spans="3:7" s="8" customFormat="1" x14ac:dyDescent="0.35">
      <c r="C33" s="16" t="s">
        <v>21</v>
      </c>
      <c r="G33" s="17">
        <f>SUM(G22-G32)</f>
        <v>3040225121.79</v>
      </c>
    </row>
  </sheetData>
  <mergeCells count="13">
    <mergeCell ref="B13:D13"/>
    <mergeCell ref="B14:D14"/>
    <mergeCell ref="B16:D16"/>
    <mergeCell ref="B8:D8"/>
    <mergeCell ref="B9:D9"/>
    <mergeCell ref="B10:D10"/>
    <mergeCell ref="B11:D11"/>
    <mergeCell ref="B12:D12"/>
    <mergeCell ref="B1:H1"/>
    <mergeCell ref="B2:H2"/>
    <mergeCell ref="B3:H3"/>
    <mergeCell ref="B6:D6"/>
    <mergeCell ref="B7:D7"/>
  </mergeCells>
  <printOptions horizontalCentered="1"/>
  <pageMargins left="0.15748031496062992" right="0.15748031496062992" top="0.19685039370078741" bottom="0.19685039370078741" header="0.51181102362204722" footer="0.51181102362204722"/>
  <pageSetup paperSize="9" scale="80" orientation="landscape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C10"/>
  <sheetViews>
    <sheetView view="pageBreakPreview" topLeftCell="A7" zoomScaleNormal="100" zoomScaleSheetLayoutView="100" workbookViewId="0">
      <selection activeCell="B4" sqref="B4"/>
    </sheetView>
  </sheetViews>
  <sheetFormatPr defaultRowHeight="18.75" x14ac:dyDescent="0.3"/>
  <cols>
    <col min="1" max="1" width="51.7109375" style="414" customWidth="1"/>
    <col min="2" max="2" width="7" style="415" customWidth="1"/>
    <col min="3" max="3" width="147.42578125" style="414" customWidth="1"/>
  </cols>
  <sheetData>
    <row r="1" spans="1:3" ht="21" x14ac:dyDescent="0.35">
      <c r="A1" s="106" t="s">
        <v>678</v>
      </c>
      <c r="B1" s="402"/>
      <c r="C1" s="403"/>
    </row>
    <row r="2" spans="1:3" ht="21" x14ac:dyDescent="0.35">
      <c r="A2" s="84" t="s">
        <v>593</v>
      </c>
      <c r="B2" s="402"/>
      <c r="C2" s="403"/>
    </row>
    <row r="3" spans="1:3" ht="21" x14ac:dyDescent="0.35">
      <c r="A3" s="542" t="s">
        <v>238</v>
      </c>
      <c r="B3" s="607" t="s">
        <v>579</v>
      </c>
      <c r="C3" s="608"/>
    </row>
    <row r="4" spans="1:3" ht="83.25" customHeight="1" x14ac:dyDescent="0.2">
      <c r="A4" s="416" t="s">
        <v>241</v>
      </c>
      <c r="B4" s="418" t="s">
        <v>579</v>
      </c>
      <c r="C4" s="421" t="s">
        <v>594</v>
      </c>
    </row>
    <row r="5" spans="1:3" ht="87.75" customHeight="1" x14ac:dyDescent="0.2">
      <c r="A5" s="416" t="s">
        <v>242</v>
      </c>
      <c r="B5" s="419" t="s">
        <v>579</v>
      </c>
      <c r="C5" s="422" t="s">
        <v>595</v>
      </c>
    </row>
    <row r="6" spans="1:3" ht="69" customHeight="1" x14ac:dyDescent="0.2">
      <c r="A6" s="417" t="s">
        <v>237</v>
      </c>
      <c r="B6" s="419" t="s">
        <v>579</v>
      </c>
      <c r="C6" s="422" t="s">
        <v>596</v>
      </c>
    </row>
    <row r="7" spans="1:3" ht="105.75" customHeight="1" x14ac:dyDescent="0.2">
      <c r="A7" s="417" t="s">
        <v>243</v>
      </c>
      <c r="B7" s="419" t="s">
        <v>579</v>
      </c>
      <c r="C7" s="422" t="s">
        <v>597</v>
      </c>
    </row>
    <row r="8" spans="1:3" ht="69" customHeight="1" x14ac:dyDescent="0.2">
      <c r="A8" s="416" t="s">
        <v>244</v>
      </c>
      <c r="B8" s="419" t="s">
        <v>579</v>
      </c>
      <c r="C8" s="422" t="s">
        <v>598</v>
      </c>
    </row>
    <row r="9" spans="1:3" ht="85.5" customHeight="1" x14ac:dyDescent="0.2">
      <c r="A9" s="417" t="s">
        <v>233</v>
      </c>
      <c r="B9" s="419" t="s">
        <v>579</v>
      </c>
      <c r="C9" s="422" t="s">
        <v>601</v>
      </c>
    </row>
    <row r="10" spans="1:3" ht="75.75" customHeight="1" x14ac:dyDescent="0.2">
      <c r="A10" s="411" t="s">
        <v>232</v>
      </c>
      <c r="B10" s="420" t="s">
        <v>579</v>
      </c>
      <c r="C10" s="319" t="s">
        <v>602</v>
      </c>
    </row>
  </sheetData>
  <mergeCells count="1">
    <mergeCell ref="B3:C3"/>
  </mergeCells>
  <printOptions horizontalCentered="1"/>
  <pageMargins left="0.31496062992125984" right="0" top="0.55118110236220474" bottom="0.19685039370078741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7"/>
  <sheetViews>
    <sheetView view="pageBreakPreview" topLeftCell="A7" zoomScaleNormal="85" zoomScaleSheetLayoutView="100" workbookViewId="0">
      <selection activeCell="H14" sqref="H14"/>
    </sheetView>
  </sheetViews>
  <sheetFormatPr defaultRowHeight="19.5" x14ac:dyDescent="0.3"/>
  <cols>
    <col min="1" max="1" width="24.7109375" style="223" customWidth="1"/>
    <col min="2" max="2" width="20.5703125" style="223" hidden="1" customWidth="1"/>
    <col min="3" max="3" width="11.85546875" style="225" customWidth="1"/>
    <col min="4" max="4" width="12" style="225" customWidth="1"/>
    <col min="5" max="5" width="10.5703125" style="225" customWidth="1"/>
    <col min="6" max="6" width="10.85546875" style="225" customWidth="1"/>
    <col min="7" max="7" width="12" style="226" customWidth="1"/>
    <col min="8" max="8" width="8.28515625" style="227" customWidth="1"/>
    <col min="9" max="9" width="9.28515625" style="228" customWidth="1"/>
    <col min="10" max="10" width="11.28515625" style="223" customWidth="1"/>
    <col min="11" max="11" width="24.7109375" style="223" customWidth="1"/>
    <col min="12" max="12" width="11.85546875" style="225" customWidth="1"/>
    <col min="13" max="13" width="12" style="225" customWidth="1"/>
    <col min="14" max="14" width="10.5703125" style="225" customWidth="1"/>
    <col min="15" max="15" width="10.85546875" style="225" customWidth="1"/>
    <col min="16" max="16" width="12" style="226" customWidth="1"/>
    <col min="17" max="17" width="8.28515625" style="227" customWidth="1"/>
    <col min="18" max="18" width="9.28515625" style="228" customWidth="1"/>
    <col min="19" max="19" width="11.28515625" style="223" customWidth="1"/>
    <col min="20" max="20" width="10.28515625" style="223" customWidth="1"/>
    <col min="21" max="21" width="9.140625" style="223"/>
    <col min="22" max="22" width="11" style="223" bestFit="1" customWidth="1"/>
    <col min="23" max="256" width="9.140625" style="223"/>
    <col min="257" max="257" width="30.140625" style="223" customWidth="1"/>
    <col min="258" max="258" width="11.7109375" style="223" customWidth="1"/>
    <col min="259" max="259" width="11.140625" style="223" customWidth="1"/>
    <col min="260" max="260" width="10.42578125" style="223" customWidth="1"/>
    <col min="261" max="261" width="10" style="223" customWidth="1"/>
    <col min="262" max="262" width="11.28515625" style="223" customWidth="1"/>
    <col min="263" max="265" width="9.140625" style="223"/>
    <col min="266" max="266" width="24.7109375" style="223" customWidth="1"/>
    <col min="267" max="267" width="0" style="223" hidden="1" customWidth="1"/>
    <col min="268" max="268" width="11.85546875" style="223" customWidth="1"/>
    <col min="269" max="269" width="12" style="223" customWidth="1"/>
    <col min="270" max="270" width="10.5703125" style="223" customWidth="1"/>
    <col min="271" max="271" width="10.85546875" style="223" customWidth="1"/>
    <col min="272" max="272" width="12" style="223" customWidth="1"/>
    <col min="273" max="273" width="8.28515625" style="223" customWidth="1"/>
    <col min="274" max="274" width="9.28515625" style="223" customWidth="1"/>
    <col min="275" max="275" width="11.28515625" style="223" customWidth="1"/>
    <col min="276" max="276" width="10.28515625" style="223" customWidth="1"/>
    <col min="277" max="512" width="9.140625" style="223"/>
    <col min="513" max="513" width="30.140625" style="223" customWidth="1"/>
    <col min="514" max="514" width="11.7109375" style="223" customWidth="1"/>
    <col min="515" max="515" width="11.140625" style="223" customWidth="1"/>
    <col min="516" max="516" width="10.42578125" style="223" customWidth="1"/>
    <col min="517" max="517" width="10" style="223" customWidth="1"/>
    <col min="518" max="518" width="11.28515625" style="223" customWidth="1"/>
    <col min="519" max="521" width="9.140625" style="223"/>
    <col min="522" max="522" width="24.7109375" style="223" customWidth="1"/>
    <col min="523" max="523" width="0" style="223" hidden="1" customWidth="1"/>
    <col min="524" max="524" width="11.85546875" style="223" customWidth="1"/>
    <col min="525" max="525" width="12" style="223" customWidth="1"/>
    <col min="526" max="526" width="10.5703125" style="223" customWidth="1"/>
    <col min="527" max="527" width="10.85546875" style="223" customWidth="1"/>
    <col min="528" max="528" width="12" style="223" customWidth="1"/>
    <col min="529" max="529" width="8.28515625" style="223" customWidth="1"/>
    <col min="530" max="530" width="9.28515625" style="223" customWidth="1"/>
    <col min="531" max="531" width="11.28515625" style="223" customWidth="1"/>
    <col min="532" max="532" width="10.28515625" style="223" customWidth="1"/>
    <col min="533" max="768" width="9.140625" style="223"/>
    <col min="769" max="769" width="30.140625" style="223" customWidth="1"/>
    <col min="770" max="770" width="11.7109375" style="223" customWidth="1"/>
    <col min="771" max="771" width="11.140625" style="223" customWidth="1"/>
    <col min="772" max="772" width="10.42578125" style="223" customWidth="1"/>
    <col min="773" max="773" width="10" style="223" customWidth="1"/>
    <col min="774" max="774" width="11.28515625" style="223" customWidth="1"/>
    <col min="775" max="777" width="9.140625" style="223"/>
    <col min="778" max="778" width="24.7109375" style="223" customWidth="1"/>
    <col min="779" max="779" width="0" style="223" hidden="1" customWidth="1"/>
    <col min="780" max="780" width="11.85546875" style="223" customWidth="1"/>
    <col min="781" max="781" width="12" style="223" customWidth="1"/>
    <col min="782" max="782" width="10.5703125" style="223" customWidth="1"/>
    <col min="783" max="783" width="10.85546875" style="223" customWidth="1"/>
    <col min="784" max="784" width="12" style="223" customWidth="1"/>
    <col min="785" max="785" width="8.28515625" style="223" customWidth="1"/>
    <col min="786" max="786" width="9.28515625" style="223" customWidth="1"/>
    <col min="787" max="787" width="11.28515625" style="223" customWidth="1"/>
    <col min="788" max="788" width="10.28515625" style="223" customWidth="1"/>
    <col min="789" max="1024" width="9.140625" style="223"/>
    <col min="1025" max="1025" width="30.140625" style="223" customWidth="1"/>
    <col min="1026" max="1026" width="11.7109375" style="223" customWidth="1"/>
    <col min="1027" max="1027" width="11.140625" style="223" customWidth="1"/>
    <col min="1028" max="1028" width="10.42578125" style="223" customWidth="1"/>
    <col min="1029" max="1029" width="10" style="223" customWidth="1"/>
    <col min="1030" max="1030" width="11.28515625" style="223" customWidth="1"/>
    <col min="1031" max="1033" width="9.140625" style="223"/>
    <col min="1034" max="1034" width="24.7109375" style="223" customWidth="1"/>
    <col min="1035" max="1035" width="0" style="223" hidden="1" customWidth="1"/>
    <col min="1036" max="1036" width="11.85546875" style="223" customWidth="1"/>
    <col min="1037" max="1037" width="12" style="223" customWidth="1"/>
    <col min="1038" max="1038" width="10.5703125" style="223" customWidth="1"/>
    <col min="1039" max="1039" width="10.85546875" style="223" customWidth="1"/>
    <col min="1040" max="1040" width="12" style="223" customWidth="1"/>
    <col min="1041" max="1041" width="8.28515625" style="223" customWidth="1"/>
    <col min="1042" max="1042" width="9.28515625" style="223" customWidth="1"/>
    <col min="1043" max="1043" width="11.28515625" style="223" customWidth="1"/>
    <col min="1044" max="1044" width="10.28515625" style="223" customWidth="1"/>
    <col min="1045" max="1280" width="9.140625" style="223"/>
    <col min="1281" max="1281" width="30.140625" style="223" customWidth="1"/>
    <col min="1282" max="1282" width="11.7109375" style="223" customWidth="1"/>
    <col min="1283" max="1283" width="11.140625" style="223" customWidth="1"/>
    <col min="1284" max="1284" width="10.42578125" style="223" customWidth="1"/>
    <col min="1285" max="1285" width="10" style="223" customWidth="1"/>
    <col min="1286" max="1286" width="11.28515625" style="223" customWidth="1"/>
    <col min="1287" max="1289" width="9.140625" style="223"/>
    <col min="1290" max="1290" width="24.7109375" style="223" customWidth="1"/>
    <col min="1291" max="1291" width="0" style="223" hidden="1" customWidth="1"/>
    <col min="1292" max="1292" width="11.85546875" style="223" customWidth="1"/>
    <col min="1293" max="1293" width="12" style="223" customWidth="1"/>
    <col min="1294" max="1294" width="10.5703125" style="223" customWidth="1"/>
    <col min="1295" max="1295" width="10.85546875" style="223" customWidth="1"/>
    <col min="1296" max="1296" width="12" style="223" customWidth="1"/>
    <col min="1297" max="1297" width="8.28515625" style="223" customWidth="1"/>
    <col min="1298" max="1298" width="9.28515625" style="223" customWidth="1"/>
    <col min="1299" max="1299" width="11.28515625" style="223" customWidth="1"/>
    <col min="1300" max="1300" width="10.28515625" style="223" customWidth="1"/>
    <col min="1301" max="1536" width="9.140625" style="223"/>
    <col min="1537" max="1537" width="30.140625" style="223" customWidth="1"/>
    <col min="1538" max="1538" width="11.7109375" style="223" customWidth="1"/>
    <col min="1539" max="1539" width="11.140625" style="223" customWidth="1"/>
    <col min="1540" max="1540" width="10.42578125" style="223" customWidth="1"/>
    <col min="1541" max="1541" width="10" style="223" customWidth="1"/>
    <col min="1542" max="1542" width="11.28515625" style="223" customWidth="1"/>
    <col min="1543" max="1545" width="9.140625" style="223"/>
    <col min="1546" max="1546" width="24.7109375" style="223" customWidth="1"/>
    <col min="1547" max="1547" width="0" style="223" hidden="1" customWidth="1"/>
    <col min="1548" max="1548" width="11.85546875" style="223" customWidth="1"/>
    <col min="1549" max="1549" width="12" style="223" customWidth="1"/>
    <col min="1550" max="1550" width="10.5703125" style="223" customWidth="1"/>
    <col min="1551" max="1551" width="10.85546875" style="223" customWidth="1"/>
    <col min="1552" max="1552" width="12" style="223" customWidth="1"/>
    <col min="1553" max="1553" width="8.28515625" style="223" customWidth="1"/>
    <col min="1554" max="1554" width="9.28515625" style="223" customWidth="1"/>
    <col min="1555" max="1555" width="11.28515625" style="223" customWidth="1"/>
    <col min="1556" max="1556" width="10.28515625" style="223" customWidth="1"/>
    <col min="1557" max="1792" width="9.140625" style="223"/>
    <col min="1793" max="1793" width="30.140625" style="223" customWidth="1"/>
    <col min="1794" max="1794" width="11.7109375" style="223" customWidth="1"/>
    <col min="1795" max="1795" width="11.140625" style="223" customWidth="1"/>
    <col min="1796" max="1796" width="10.42578125" style="223" customWidth="1"/>
    <col min="1797" max="1797" width="10" style="223" customWidth="1"/>
    <col min="1798" max="1798" width="11.28515625" style="223" customWidth="1"/>
    <col min="1799" max="1801" width="9.140625" style="223"/>
    <col min="1802" max="1802" width="24.7109375" style="223" customWidth="1"/>
    <col min="1803" max="1803" width="0" style="223" hidden="1" customWidth="1"/>
    <col min="1804" max="1804" width="11.85546875" style="223" customWidth="1"/>
    <col min="1805" max="1805" width="12" style="223" customWidth="1"/>
    <col min="1806" max="1806" width="10.5703125" style="223" customWidth="1"/>
    <col min="1807" max="1807" width="10.85546875" style="223" customWidth="1"/>
    <col min="1808" max="1808" width="12" style="223" customWidth="1"/>
    <col min="1809" max="1809" width="8.28515625" style="223" customWidth="1"/>
    <col min="1810" max="1810" width="9.28515625" style="223" customWidth="1"/>
    <col min="1811" max="1811" width="11.28515625" style="223" customWidth="1"/>
    <col min="1812" max="1812" width="10.28515625" style="223" customWidth="1"/>
    <col min="1813" max="2048" width="9.140625" style="223"/>
    <col min="2049" max="2049" width="30.140625" style="223" customWidth="1"/>
    <col min="2050" max="2050" width="11.7109375" style="223" customWidth="1"/>
    <col min="2051" max="2051" width="11.140625" style="223" customWidth="1"/>
    <col min="2052" max="2052" width="10.42578125" style="223" customWidth="1"/>
    <col min="2053" max="2053" width="10" style="223" customWidth="1"/>
    <col min="2054" max="2054" width="11.28515625" style="223" customWidth="1"/>
    <col min="2055" max="2057" width="9.140625" style="223"/>
    <col min="2058" max="2058" width="24.7109375" style="223" customWidth="1"/>
    <col min="2059" max="2059" width="0" style="223" hidden="1" customWidth="1"/>
    <col min="2060" max="2060" width="11.85546875" style="223" customWidth="1"/>
    <col min="2061" max="2061" width="12" style="223" customWidth="1"/>
    <col min="2062" max="2062" width="10.5703125" style="223" customWidth="1"/>
    <col min="2063" max="2063" width="10.85546875" style="223" customWidth="1"/>
    <col min="2064" max="2064" width="12" style="223" customWidth="1"/>
    <col min="2065" max="2065" width="8.28515625" style="223" customWidth="1"/>
    <col min="2066" max="2066" width="9.28515625" style="223" customWidth="1"/>
    <col min="2067" max="2067" width="11.28515625" style="223" customWidth="1"/>
    <col min="2068" max="2068" width="10.28515625" style="223" customWidth="1"/>
    <col min="2069" max="2304" width="9.140625" style="223"/>
    <col min="2305" max="2305" width="30.140625" style="223" customWidth="1"/>
    <col min="2306" max="2306" width="11.7109375" style="223" customWidth="1"/>
    <col min="2307" max="2307" width="11.140625" style="223" customWidth="1"/>
    <col min="2308" max="2308" width="10.42578125" style="223" customWidth="1"/>
    <col min="2309" max="2309" width="10" style="223" customWidth="1"/>
    <col min="2310" max="2310" width="11.28515625" style="223" customWidth="1"/>
    <col min="2311" max="2313" width="9.140625" style="223"/>
    <col min="2314" max="2314" width="24.7109375" style="223" customWidth="1"/>
    <col min="2315" max="2315" width="0" style="223" hidden="1" customWidth="1"/>
    <col min="2316" max="2316" width="11.85546875" style="223" customWidth="1"/>
    <col min="2317" max="2317" width="12" style="223" customWidth="1"/>
    <col min="2318" max="2318" width="10.5703125" style="223" customWidth="1"/>
    <col min="2319" max="2319" width="10.85546875" style="223" customWidth="1"/>
    <col min="2320" max="2320" width="12" style="223" customWidth="1"/>
    <col min="2321" max="2321" width="8.28515625" style="223" customWidth="1"/>
    <col min="2322" max="2322" width="9.28515625" style="223" customWidth="1"/>
    <col min="2323" max="2323" width="11.28515625" style="223" customWidth="1"/>
    <col min="2324" max="2324" width="10.28515625" style="223" customWidth="1"/>
    <col min="2325" max="2560" width="9.140625" style="223"/>
    <col min="2561" max="2561" width="30.140625" style="223" customWidth="1"/>
    <col min="2562" max="2562" width="11.7109375" style="223" customWidth="1"/>
    <col min="2563" max="2563" width="11.140625" style="223" customWidth="1"/>
    <col min="2564" max="2564" width="10.42578125" style="223" customWidth="1"/>
    <col min="2565" max="2565" width="10" style="223" customWidth="1"/>
    <col min="2566" max="2566" width="11.28515625" style="223" customWidth="1"/>
    <col min="2567" max="2569" width="9.140625" style="223"/>
    <col min="2570" max="2570" width="24.7109375" style="223" customWidth="1"/>
    <col min="2571" max="2571" width="0" style="223" hidden="1" customWidth="1"/>
    <col min="2572" max="2572" width="11.85546875" style="223" customWidth="1"/>
    <col min="2573" max="2573" width="12" style="223" customWidth="1"/>
    <col min="2574" max="2574" width="10.5703125" style="223" customWidth="1"/>
    <col min="2575" max="2575" width="10.85546875" style="223" customWidth="1"/>
    <col min="2576" max="2576" width="12" style="223" customWidth="1"/>
    <col min="2577" max="2577" width="8.28515625" style="223" customWidth="1"/>
    <col min="2578" max="2578" width="9.28515625" style="223" customWidth="1"/>
    <col min="2579" max="2579" width="11.28515625" style="223" customWidth="1"/>
    <col min="2580" max="2580" width="10.28515625" style="223" customWidth="1"/>
    <col min="2581" max="2816" width="9.140625" style="223"/>
    <col min="2817" max="2817" width="30.140625" style="223" customWidth="1"/>
    <col min="2818" max="2818" width="11.7109375" style="223" customWidth="1"/>
    <col min="2819" max="2819" width="11.140625" style="223" customWidth="1"/>
    <col min="2820" max="2820" width="10.42578125" style="223" customWidth="1"/>
    <col min="2821" max="2821" width="10" style="223" customWidth="1"/>
    <col min="2822" max="2822" width="11.28515625" style="223" customWidth="1"/>
    <col min="2823" max="2825" width="9.140625" style="223"/>
    <col min="2826" max="2826" width="24.7109375" style="223" customWidth="1"/>
    <col min="2827" max="2827" width="0" style="223" hidden="1" customWidth="1"/>
    <col min="2828" max="2828" width="11.85546875" style="223" customWidth="1"/>
    <col min="2829" max="2829" width="12" style="223" customWidth="1"/>
    <col min="2830" max="2830" width="10.5703125" style="223" customWidth="1"/>
    <col min="2831" max="2831" width="10.85546875" style="223" customWidth="1"/>
    <col min="2832" max="2832" width="12" style="223" customWidth="1"/>
    <col min="2833" max="2833" width="8.28515625" style="223" customWidth="1"/>
    <col min="2834" max="2834" width="9.28515625" style="223" customWidth="1"/>
    <col min="2835" max="2835" width="11.28515625" style="223" customWidth="1"/>
    <col min="2836" max="2836" width="10.28515625" style="223" customWidth="1"/>
    <col min="2837" max="3072" width="9.140625" style="223"/>
    <col min="3073" max="3073" width="30.140625" style="223" customWidth="1"/>
    <col min="3074" max="3074" width="11.7109375" style="223" customWidth="1"/>
    <col min="3075" max="3075" width="11.140625" style="223" customWidth="1"/>
    <col min="3076" max="3076" width="10.42578125" style="223" customWidth="1"/>
    <col min="3077" max="3077" width="10" style="223" customWidth="1"/>
    <col min="3078" max="3078" width="11.28515625" style="223" customWidth="1"/>
    <col min="3079" max="3081" width="9.140625" style="223"/>
    <col min="3082" max="3082" width="24.7109375" style="223" customWidth="1"/>
    <col min="3083" max="3083" width="0" style="223" hidden="1" customWidth="1"/>
    <col min="3084" max="3084" width="11.85546875" style="223" customWidth="1"/>
    <col min="3085" max="3085" width="12" style="223" customWidth="1"/>
    <col min="3086" max="3086" width="10.5703125" style="223" customWidth="1"/>
    <col min="3087" max="3087" width="10.85546875" style="223" customWidth="1"/>
    <col min="3088" max="3088" width="12" style="223" customWidth="1"/>
    <col min="3089" max="3089" width="8.28515625" style="223" customWidth="1"/>
    <col min="3090" max="3090" width="9.28515625" style="223" customWidth="1"/>
    <col min="3091" max="3091" width="11.28515625" style="223" customWidth="1"/>
    <col min="3092" max="3092" width="10.28515625" style="223" customWidth="1"/>
    <col min="3093" max="3328" width="9.140625" style="223"/>
    <col min="3329" max="3329" width="30.140625" style="223" customWidth="1"/>
    <col min="3330" max="3330" width="11.7109375" style="223" customWidth="1"/>
    <col min="3331" max="3331" width="11.140625" style="223" customWidth="1"/>
    <col min="3332" max="3332" width="10.42578125" style="223" customWidth="1"/>
    <col min="3333" max="3333" width="10" style="223" customWidth="1"/>
    <col min="3334" max="3334" width="11.28515625" style="223" customWidth="1"/>
    <col min="3335" max="3337" width="9.140625" style="223"/>
    <col min="3338" max="3338" width="24.7109375" style="223" customWidth="1"/>
    <col min="3339" max="3339" width="0" style="223" hidden="1" customWidth="1"/>
    <col min="3340" max="3340" width="11.85546875" style="223" customWidth="1"/>
    <col min="3341" max="3341" width="12" style="223" customWidth="1"/>
    <col min="3342" max="3342" width="10.5703125" style="223" customWidth="1"/>
    <col min="3343" max="3343" width="10.85546875" style="223" customWidth="1"/>
    <col min="3344" max="3344" width="12" style="223" customWidth="1"/>
    <col min="3345" max="3345" width="8.28515625" style="223" customWidth="1"/>
    <col min="3346" max="3346" width="9.28515625" style="223" customWidth="1"/>
    <col min="3347" max="3347" width="11.28515625" style="223" customWidth="1"/>
    <col min="3348" max="3348" width="10.28515625" style="223" customWidth="1"/>
    <col min="3349" max="3584" width="9.140625" style="223"/>
    <col min="3585" max="3585" width="30.140625" style="223" customWidth="1"/>
    <col min="3586" max="3586" width="11.7109375" style="223" customWidth="1"/>
    <col min="3587" max="3587" width="11.140625" style="223" customWidth="1"/>
    <col min="3588" max="3588" width="10.42578125" style="223" customWidth="1"/>
    <col min="3589" max="3589" width="10" style="223" customWidth="1"/>
    <col min="3590" max="3590" width="11.28515625" style="223" customWidth="1"/>
    <col min="3591" max="3593" width="9.140625" style="223"/>
    <col min="3594" max="3594" width="24.7109375" style="223" customWidth="1"/>
    <col min="3595" max="3595" width="0" style="223" hidden="1" customWidth="1"/>
    <col min="3596" max="3596" width="11.85546875" style="223" customWidth="1"/>
    <col min="3597" max="3597" width="12" style="223" customWidth="1"/>
    <col min="3598" max="3598" width="10.5703125" style="223" customWidth="1"/>
    <col min="3599" max="3599" width="10.85546875" style="223" customWidth="1"/>
    <col min="3600" max="3600" width="12" style="223" customWidth="1"/>
    <col min="3601" max="3601" width="8.28515625" style="223" customWidth="1"/>
    <col min="3602" max="3602" width="9.28515625" style="223" customWidth="1"/>
    <col min="3603" max="3603" width="11.28515625" style="223" customWidth="1"/>
    <col min="3604" max="3604" width="10.28515625" style="223" customWidth="1"/>
    <col min="3605" max="3840" width="9.140625" style="223"/>
    <col min="3841" max="3841" width="30.140625" style="223" customWidth="1"/>
    <col min="3842" max="3842" width="11.7109375" style="223" customWidth="1"/>
    <col min="3843" max="3843" width="11.140625" style="223" customWidth="1"/>
    <col min="3844" max="3844" width="10.42578125" style="223" customWidth="1"/>
    <col min="3845" max="3845" width="10" style="223" customWidth="1"/>
    <col min="3846" max="3846" width="11.28515625" style="223" customWidth="1"/>
    <col min="3847" max="3849" width="9.140625" style="223"/>
    <col min="3850" max="3850" width="24.7109375" style="223" customWidth="1"/>
    <col min="3851" max="3851" width="0" style="223" hidden="1" customWidth="1"/>
    <col min="3852" max="3852" width="11.85546875" style="223" customWidth="1"/>
    <col min="3853" max="3853" width="12" style="223" customWidth="1"/>
    <col min="3854" max="3854" width="10.5703125" style="223" customWidth="1"/>
    <col min="3855" max="3855" width="10.85546875" style="223" customWidth="1"/>
    <col min="3856" max="3856" width="12" style="223" customWidth="1"/>
    <col min="3857" max="3857" width="8.28515625" style="223" customWidth="1"/>
    <col min="3858" max="3858" width="9.28515625" style="223" customWidth="1"/>
    <col min="3859" max="3859" width="11.28515625" style="223" customWidth="1"/>
    <col min="3860" max="3860" width="10.28515625" style="223" customWidth="1"/>
    <col min="3861" max="4096" width="9.140625" style="223"/>
    <col min="4097" max="4097" width="30.140625" style="223" customWidth="1"/>
    <col min="4098" max="4098" width="11.7109375" style="223" customWidth="1"/>
    <col min="4099" max="4099" width="11.140625" style="223" customWidth="1"/>
    <col min="4100" max="4100" width="10.42578125" style="223" customWidth="1"/>
    <col min="4101" max="4101" width="10" style="223" customWidth="1"/>
    <col min="4102" max="4102" width="11.28515625" style="223" customWidth="1"/>
    <col min="4103" max="4105" width="9.140625" style="223"/>
    <col min="4106" max="4106" width="24.7109375" style="223" customWidth="1"/>
    <col min="4107" max="4107" width="0" style="223" hidden="1" customWidth="1"/>
    <col min="4108" max="4108" width="11.85546875" style="223" customWidth="1"/>
    <col min="4109" max="4109" width="12" style="223" customWidth="1"/>
    <col min="4110" max="4110" width="10.5703125" style="223" customWidth="1"/>
    <col min="4111" max="4111" width="10.85546875" style="223" customWidth="1"/>
    <col min="4112" max="4112" width="12" style="223" customWidth="1"/>
    <col min="4113" max="4113" width="8.28515625" style="223" customWidth="1"/>
    <col min="4114" max="4114" width="9.28515625" style="223" customWidth="1"/>
    <col min="4115" max="4115" width="11.28515625" style="223" customWidth="1"/>
    <col min="4116" max="4116" width="10.28515625" style="223" customWidth="1"/>
    <col min="4117" max="4352" width="9.140625" style="223"/>
    <col min="4353" max="4353" width="30.140625" style="223" customWidth="1"/>
    <col min="4354" max="4354" width="11.7109375" style="223" customWidth="1"/>
    <col min="4355" max="4355" width="11.140625" style="223" customWidth="1"/>
    <col min="4356" max="4356" width="10.42578125" style="223" customWidth="1"/>
    <col min="4357" max="4357" width="10" style="223" customWidth="1"/>
    <col min="4358" max="4358" width="11.28515625" style="223" customWidth="1"/>
    <col min="4359" max="4361" width="9.140625" style="223"/>
    <col min="4362" max="4362" width="24.7109375" style="223" customWidth="1"/>
    <col min="4363" max="4363" width="0" style="223" hidden="1" customWidth="1"/>
    <col min="4364" max="4364" width="11.85546875" style="223" customWidth="1"/>
    <col min="4365" max="4365" width="12" style="223" customWidth="1"/>
    <col min="4366" max="4366" width="10.5703125" style="223" customWidth="1"/>
    <col min="4367" max="4367" width="10.85546875" style="223" customWidth="1"/>
    <col min="4368" max="4368" width="12" style="223" customWidth="1"/>
    <col min="4369" max="4369" width="8.28515625" style="223" customWidth="1"/>
    <col min="4370" max="4370" width="9.28515625" style="223" customWidth="1"/>
    <col min="4371" max="4371" width="11.28515625" style="223" customWidth="1"/>
    <col min="4372" max="4372" width="10.28515625" style="223" customWidth="1"/>
    <col min="4373" max="4608" width="9.140625" style="223"/>
    <col min="4609" max="4609" width="30.140625" style="223" customWidth="1"/>
    <col min="4610" max="4610" width="11.7109375" style="223" customWidth="1"/>
    <col min="4611" max="4611" width="11.140625" style="223" customWidth="1"/>
    <col min="4612" max="4612" width="10.42578125" style="223" customWidth="1"/>
    <col min="4613" max="4613" width="10" style="223" customWidth="1"/>
    <col min="4614" max="4614" width="11.28515625" style="223" customWidth="1"/>
    <col min="4615" max="4617" width="9.140625" style="223"/>
    <col min="4618" max="4618" width="24.7109375" style="223" customWidth="1"/>
    <col min="4619" max="4619" width="0" style="223" hidden="1" customWidth="1"/>
    <col min="4620" max="4620" width="11.85546875" style="223" customWidth="1"/>
    <col min="4621" max="4621" width="12" style="223" customWidth="1"/>
    <col min="4622" max="4622" width="10.5703125" style="223" customWidth="1"/>
    <col min="4623" max="4623" width="10.85546875" style="223" customWidth="1"/>
    <col min="4624" max="4624" width="12" style="223" customWidth="1"/>
    <col min="4625" max="4625" width="8.28515625" style="223" customWidth="1"/>
    <col min="4626" max="4626" width="9.28515625" style="223" customWidth="1"/>
    <col min="4627" max="4627" width="11.28515625" style="223" customWidth="1"/>
    <col min="4628" max="4628" width="10.28515625" style="223" customWidth="1"/>
    <col min="4629" max="4864" width="9.140625" style="223"/>
    <col min="4865" max="4865" width="30.140625" style="223" customWidth="1"/>
    <col min="4866" max="4866" width="11.7109375" style="223" customWidth="1"/>
    <col min="4867" max="4867" width="11.140625" style="223" customWidth="1"/>
    <col min="4868" max="4868" width="10.42578125" style="223" customWidth="1"/>
    <col min="4869" max="4869" width="10" style="223" customWidth="1"/>
    <col min="4870" max="4870" width="11.28515625" style="223" customWidth="1"/>
    <col min="4871" max="4873" width="9.140625" style="223"/>
    <col min="4874" max="4874" width="24.7109375" style="223" customWidth="1"/>
    <col min="4875" max="4875" width="0" style="223" hidden="1" customWidth="1"/>
    <col min="4876" max="4876" width="11.85546875" style="223" customWidth="1"/>
    <col min="4877" max="4877" width="12" style="223" customWidth="1"/>
    <col min="4878" max="4878" width="10.5703125" style="223" customWidth="1"/>
    <col min="4879" max="4879" width="10.85546875" style="223" customWidth="1"/>
    <col min="4880" max="4880" width="12" style="223" customWidth="1"/>
    <col min="4881" max="4881" width="8.28515625" style="223" customWidth="1"/>
    <col min="4882" max="4882" width="9.28515625" style="223" customWidth="1"/>
    <col min="4883" max="4883" width="11.28515625" style="223" customWidth="1"/>
    <col min="4884" max="4884" width="10.28515625" style="223" customWidth="1"/>
    <col min="4885" max="5120" width="9.140625" style="223"/>
    <col min="5121" max="5121" width="30.140625" style="223" customWidth="1"/>
    <col min="5122" max="5122" width="11.7109375" style="223" customWidth="1"/>
    <col min="5123" max="5123" width="11.140625" style="223" customWidth="1"/>
    <col min="5124" max="5124" width="10.42578125" style="223" customWidth="1"/>
    <col min="5125" max="5125" width="10" style="223" customWidth="1"/>
    <col min="5126" max="5126" width="11.28515625" style="223" customWidth="1"/>
    <col min="5127" max="5129" width="9.140625" style="223"/>
    <col min="5130" max="5130" width="24.7109375" style="223" customWidth="1"/>
    <col min="5131" max="5131" width="0" style="223" hidden="1" customWidth="1"/>
    <col min="5132" max="5132" width="11.85546875" style="223" customWidth="1"/>
    <col min="5133" max="5133" width="12" style="223" customWidth="1"/>
    <col min="5134" max="5134" width="10.5703125" style="223" customWidth="1"/>
    <col min="5135" max="5135" width="10.85546875" style="223" customWidth="1"/>
    <col min="5136" max="5136" width="12" style="223" customWidth="1"/>
    <col min="5137" max="5137" width="8.28515625" style="223" customWidth="1"/>
    <col min="5138" max="5138" width="9.28515625" style="223" customWidth="1"/>
    <col min="5139" max="5139" width="11.28515625" style="223" customWidth="1"/>
    <col min="5140" max="5140" width="10.28515625" style="223" customWidth="1"/>
    <col min="5141" max="5376" width="9.140625" style="223"/>
    <col min="5377" max="5377" width="30.140625" style="223" customWidth="1"/>
    <col min="5378" max="5378" width="11.7109375" style="223" customWidth="1"/>
    <col min="5379" max="5379" width="11.140625" style="223" customWidth="1"/>
    <col min="5380" max="5380" width="10.42578125" style="223" customWidth="1"/>
    <col min="5381" max="5381" width="10" style="223" customWidth="1"/>
    <col min="5382" max="5382" width="11.28515625" style="223" customWidth="1"/>
    <col min="5383" max="5385" width="9.140625" style="223"/>
    <col min="5386" max="5386" width="24.7109375" style="223" customWidth="1"/>
    <col min="5387" max="5387" width="0" style="223" hidden="1" customWidth="1"/>
    <col min="5388" max="5388" width="11.85546875" style="223" customWidth="1"/>
    <col min="5389" max="5389" width="12" style="223" customWidth="1"/>
    <col min="5390" max="5390" width="10.5703125" style="223" customWidth="1"/>
    <col min="5391" max="5391" width="10.85546875" style="223" customWidth="1"/>
    <col min="5392" max="5392" width="12" style="223" customWidth="1"/>
    <col min="5393" max="5393" width="8.28515625" style="223" customWidth="1"/>
    <col min="5394" max="5394" width="9.28515625" style="223" customWidth="1"/>
    <col min="5395" max="5395" width="11.28515625" style="223" customWidth="1"/>
    <col min="5396" max="5396" width="10.28515625" style="223" customWidth="1"/>
    <col min="5397" max="5632" width="9.140625" style="223"/>
    <col min="5633" max="5633" width="30.140625" style="223" customWidth="1"/>
    <col min="5634" max="5634" width="11.7109375" style="223" customWidth="1"/>
    <col min="5635" max="5635" width="11.140625" style="223" customWidth="1"/>
    <col min="5636" max="5636" width="10.42578125" style="223" customWidth="1"/>
    <col min="5637" max="5637" width="10" style="223" customWidth="1"/>
    <col min="5638" max="5638" width="11.28515625" style="223" customWidth="1"/>
    <col min="5639" max="5641" width="9.140625" style="223"/>
    <col min="5642" max="5642" width="24.7109375" style="223" customWidth="1"/>
    <col min="5643" max="5643" width="0" style="223" hidden="1" customWidth="1"/>
    <col min="5644" max="5644" width="11.85546875" style="223" customWidth="1"/>
    <col min="5645" max="5645" width="12" style="223" customWidth="1"/>
    <col min="5646" max="5646" width="10.5703125" style="223" customWidth="1"/>
    <col min="5647" max="5647" width="10.85546875" style="223" customWidth="1"/>
    <col min="5648" max="5648" width="12" style="223" customWidth="1"/>
    <col min="5649" max="5649" width="8.28515625" style="223" customWidth="1"/>
    <col min="5650" max="5650" width="9.28515625" style="223" customWidth="1"/>
    <col min="5651" max="5651" width="11.28515625" style="223" customWidth="1"/>
    <col min="5652" max="5652" width="10.28515625" style="223" customWidth="1"/>
    <col min="5653" max="5888" width="9.140625" style="223"/>
    <col min="5889" max="5889" width="30.140625" style="223" customWidth="1"/>
    <col min="5890" max="5890" width="11.7109375" style="223" customWidth="1"/>
    <col min="5891" max="5891" width="11.140625" style="223" customWidth="1"/>
    <col min="5892" max="5892" width="10.42578125" style="223" customWidth="1"/>
    <col min="5893" max="5893" width="10" style="223" customWidth="1"/>
    <col min="5894" max="5894" width="11.28515625" style="223" customWidth="1"/>
    <col min="5895" max="5897" width="9.140625" style="223"/>
    <col min="5898" max="5898" width="24.7109375" style="223" customWidth="1"/>
    <col min="5899" max="5899" width="0" style="223" hidden="1" customWidth="1"/>
    <col min="5900" max="5900" width="11.85546875" style="223" customWidth="1"/>
    <col min="5901" max="5901" width="12" style="223" customWidth="1"/>
    <col min="5902" max="5902" width="10.5703125" style="223" customWidth="1"/>
    <col min="5903" max="5903" width="10.85546875" style="223" customWidth="1"/>
    <col min="5904" max="5904" width="12" style="223" customWidth="1"/>
    <col min="5905" max="5905" width="8.28515625" style="223" customWidth="1"/>
    <col min="5906" max="5906" width="9.28515625" style="223" customWidth="1"/>
    <col min="5907" max="5907" width="11.28515625" style="223" customWidth="1"/>
    <col min="5908" max="5908" width="10.28515625" style="223" customWidth="1"/>
    <col min="5909" max="6144" width="9.140625" style="223"/>
    <col min="6145" max="6145" width="30.140625" style="223" customWidth="1"/>
    <col min="6146" max="6146" width="11.7109375" style="223" customWidth="1"/>
    <col min="6147" max="6147" width="11.140625" style="223" customWidth="1"/>
    <col min="6148" max="6148" width="10.42578125" style="223" customWidth="1"/>
    <col min="6149" max="6149" width="10" style="223" customWidth="1"/>
    <col min="6150" max="6150" width="11.28515625" style="223" customWidth="1"/>
    <col min="6151" max="6153" width="9.140625" style="223"/>
    <col min="6154" max="6154" width="24.7109375" style="223" customWidth="1"/>
    <col min="6155" max="6155" width="0" style="223" hidden="1" customWidth="1"/>
    <col min="6156" max="6156" width="11.85546875" style="223" customWidth="1"/>
    <col min="6157" max="6157" width="12" style="223" customWidth="1"/>
    <col min="6158" max="6158" width="10.5703125" style="223" customWidth="1"/>
    <col min="6159" max="6159" width="10.85546875" style="223" customWidth="1"/>
    <col min="6160" max="6160" width="12" style="223" customWidth="1"/>
    <col min="6161" max="6161" width="8.28515625" style="223" customWidth="1"/>
    <col min="6162" max="6162" width="9.28515625" style="223" customWidth="1"/>
    <col min="6163" max="6163" width="11.28515625" style="223" customWidth="1"/>
    <col min="6164" max="6164" width="10.28515625" style="223" customWidth="1"/>
    <col min="6165" max="6400" width="9.140625" style="223"/>
    <col min="6401" max="6401" width="30.140625" style="223" customWidth="1"/>
    <col min="6402" max="6402" width="11.7109375" style="223" customWidth="1"/>
    <col min="6403" max="6403" width="11.140625" style="223" customWidth="1"/>
    <col min="6404" max="6404" width="10.42578125" style="223" customWidth="1"/>
    <col min="6405" max="6405" width="10" style="223" customWidth="1"/>
    <col min="6406" max="6406" width="11.28515625" style="223" customWidth="1"/>
    <col min="6407" max="6409" width="9.140625" style="223"/>
    <col min="6410" max="6410" width="24.7109375" style="223" customWidth="1"/>
    <col min="6411" max="6411" width="0" style="223" hidden="1" customWidth="1"/>
    <col min="6412" max="6412" width="11.85546875" style="223" customWidth="1"/>
    <col min="6413" max="6413" width="12" style="223" customWidth="1"/>
    <col min="6414" max="6414" width="10.5703125" style="223" customWidth="1"/>
    <col min="6415" max="6415" width="10.85546875" style="223" customWidth="1"/>
    <col min="6416" max="6416" width="12" style="223" customWidth="1"/>
    <col min="6417" max="6417" width="8.28515625" style="223" customWidth="1"/>
    <col min="6418" max="6418" width="9.28515625" style="223" customWidth="1"/>
    <col min="6419" max="6419" width="11.28515625" style="223" customWidth="1"/>
    <col min="6420" max="6420" width="10.28515625" style="223" customWidth="1"/>
    <col min="6421" max="6656" width="9.140625" style="223"/>
    <col min="6657" max="6657" width="30.140625" style="223" customWidth="1"/>
    <col min="6658" max="6658" width="11.7109375" style="223" customWidth="1"/>
    <col min="6659" max="6659" width="11.140625" style="223" customWidth="1"/>
    <col min="6660" max="6660" width="10.42578125" style="223" customWidth="1"/>
    <col min="6661" max="6661" width="10" style="223" customWidth="1"/>
    <col min="6662" max="6662" width="11.28515625" style="223" customWidth="1"/>
    <col min="6663" max="6665" width="9.140625" style="223"/>
    <col min="6666" max="6666" width="24.7109375" style="223" customWidth="1"/>
    <col min="6667" max="6667" width="0" style="223" hidden="1" customWidth="1"/>
    <col min="6668" max="6668" width="11.85546875" style="223" customWidth="1"/>
    <col min="6669" max="6669" width="12" style="223" customWidth="1"/>
    <col min="6670" max="6670" width="10.5703125" style="223" customWidth="1"/>
    <col min="6671" max="6671" width="10.85546875" style="223" customWidth="1"/>
    <col min="6672" max="6672" width="12" style="223" customWidth="1"/>
    <col min="6673" max="6673" width="8.28515625" style="223" customWidth="1"/>
    <col min="6674" max="6674" width="9.28515625" style="223" customWidth="1"/>
    <col min="6675" max="6675" width="11.28515625" style="223" customWidth="1"/>
    <col min="6676" max="6676" width="10.28515625" style="223" customWidth="1"/>
    <col min="6677" max="6912" width="9.140625" style="223"/>
    <col min="6913" max="6913" width="30.140625" style="223" customWidth="1"/>
    <col min="6914" max="6914" width="11.7109375" style="223" customWidth="1"/>
    <col min="6915" max="6915" width="11.140625" style="223" customWidth="1"/>
    <col min="6916" max="6916" width="10.42578125" style="223" customWidth="1"/>
    <col min="6917" max="6917" width="10" style="223" customWidth="1"/>
    <col min="6918" max="6918" width="11.28515625" style="223" customWidth="1"/>
    <col min="6919" max="6921" width="9.140625" style="223"/>
    <col min="6922" max="6922" width="24.7109375" style="223" customWidth="1"/>
    <col min="6923" max="6923" width="0" style="223" hidden="1" customWidth="1"/>
    <col min="6924" max="6924" width="11.85546875" style="223" customWidth="1"/>
    <col min="6925" max="6925" width="12" style="223" customWidth="1"/>
    <col min="6926" max="6926" width="10.5703125" style="223" customWidth="1"/>
    <col min="6927" max="6927" width="10.85546875" style="223" customWidth="1"/>
    <col min="6928" max="6928" width="12" style="223" customWidth="1"/>
    <col min="6929" max="6929" width="8.28515625" style="223" customWidth="1"/>
    <col min="6930" max="6930" width="9.28515625" style="223" customWidth="1"/>
    <col min="6931" max="6931" width="11.28515625" style="223" customWidth="1"/>
    <col min="6932" max="6932" width="10.28515625" style="223" customWidth="1"/>
    <col min="6933" max="7168" width="9.140625" style="223"/>
    <col min="7169" max="7169" width="30.140625" style="223" customWidth="1"/>
    <col min="7170" max="7170" width="11.7109375" style="223" customWidth="1"/>
    <col min="7171" max="7171" width="11.140625" style="223" customWidth="1"/>
    <col min="7172" max="7172" width="10.42578125" style="223" customWidth="1"/>
    <col min="7173" max="7173" width="10" style="223" customWidth="1"/>
    <col min="7174" max="7174" width="11.28515625" style="223" customWidth="1"/>
    <col min="7175" max="7177" width="9.140625" style="223"/>
    <col min="7178" max="7178" width="24.7109375" style="223" customWidth="1"/>
    <col min="7179" max="7179" width="0" style="223" hidden="1" customWidth="1"/>
    <col min="7180" max="7180" width="11.85546875" style="223" customWidth="1"/>
    <col min="7181" max="7181" width="12" style="223" customWidth="1"/>
    <col min="7182" max="7182" width="10.5703125" style="223" customWidth="1"/>
    <col min="7183" max="7183" width="10.85546875" style="223" customWidth="1"/>
    <col min="7184" max="7184" width="12" style="223" customWidth="1"/>
    <col min="7185" max="7185" width="8.28515625" style="223" customWidth="1"/>
    <col min="7186" max="7186" width="9.28515625" style="223" customWidth="1"/>
    <col min="7187" max="7187" width="11.28515625" style="223" customWidth="1"/>
    <col min="7188" max="7188" width="10.28515625" style="223" customWidth="1"/>
    <col min="7189" max="7424" width="9.140625" style="223"/>
    <col min="7425" max="7425" width="30.140625" style="223" customWidth="1"/>
    <col min="7426" max="7426" width="11.7109375" style="223" customWidth="1"/>
    <col min="7427" max="7427" width="11.140625" style="223" customWidth="1"/>
    <col min="7428" max="7428" width="10.42578125" style="223" customWidth="1"/>
    <col min="7429" max="7429" width="10" style="223" customWidth="1"/>
    <col min="7430" max="7430" width="11.28515625" style="223" customWidth="1"/>
    <col min="7431" max="7433" width="9.140625" style="223"/>
    <col min="7434" max="7434" width="24.7109375" style="223" customWidth="1"/>
    <col min="7435" max="7435" width="0" style="223" hidden="1" customWidth="1"/>
    <col min="7436" max="7436" width="11.85546875" style="223" customWidth="1"/>
    <col min="7437" max="7437" width="12" style="223" customWidth="1"/>
    <col min="7438" max="7438" width="10.5703125" style="223" customWidth="1"/>
    <col min="7439" max="7439" width="10.85546875" style="223" customWidth="1"/>
    <col min="7440" max="7440" width="12" style="223" customWidth="1"/>
    <col min="7441" max="7441" width="8.28515625" style="223" customWidth="1"/>
    <col min="7442" max="7442" width="9.28515625" style="223" customWidth="1"/>
    <col min="7443" max="7443" width="11.28515625" style="223" customWidth="1"/>
    <col min="7444" max="7444" width="10.28515625" style="223" customWidth="1"/>
    <col min="7445" max="7680" width="9.140625" style="223"/>
    <col min="7681" max="7681" width="30.140625" style="223" customWidth="1"/>
    <col min="7682" max="7682" width="11.7109375" style="223" customWidth="1"/>
    <col min="7683" max="7683" width="11.140625" style="223" customWidth="1"/>
    <col min="7684" max="7684" width="10.42578125" style="223" customWidth="1"/>
    <col min="7685" max="7685" width="10" style="223" customWidth="1"/>
    <col min="7686" max="7686" width="11.28515625" style="223" customWidth="1"/>
    <col min="7687" max="7689" width="9.140625" style="223"/>
    <col min="7690" max="7690" width="24.7109375" style="223" customWidth="1"/>
    <col min="7691" max="7691" width="0" style="223" hidden="1" customWidth="1"/>
    <col min="7692" max="7692" width="11.85546875" style="223" customWidth="1"/>
    <col min="7693" max="7693" width="12" style="223" customWidth="1"/>
    <col min="7694" max="7694" width="10.5703125" style="223" customWidth="1"/>
    <col min="7695" max="7695" width="10.85546875" style="223" customWidth="1"/>
    <col min="7696" max="7696" width="12" style="223" customWidth="1"/>
    <col min="7697" max="7697" width="8.28515625" style="223" customWidth="1"/>
    <col min="7698" max="7698" width="9.28515625" style="223" customWidth="1"/>
    <col min="7699" max="7699" width="11.28515625" style="223" customWidth="1"/>
    <col min="7700" max="7700" width="10.28515625" style="223" customWidth="1"/>
    <col min="7701" max="7936" width="9.140625" style="223"/>
    <col min="7937" max="7937" width="30.140625" style="223" customWidth="1"/>
    <col min="7938" max="7938" width="11.7109375" style="223" customWidth="1"/>
    <col min="7939" max="7939" width="11.140625" style="223" customWidth="1"/>
    <col min="7940" max="7940" width="10.42578125" style="223" customWidth="1"/>
    <col min="7941" max="7941" width="10" style="223" customWidth="1"/>
    <col min="7942" max="7942" width="11.28515625" style="223" customWidth="1"/>
    <col min="7943" max="7945" width="9.140625" style="223"/>
    <col min="7946" max="7946" width="24.7109375" style="223" customWidth="1"/>
    <col min="7947" max="7947" width="0" style="223" hidden="1" customWidth="1"/>
    <col min="7948" max="7948" width="11.85546875" style="223" customWidth="1"/>
    <col min="7949" max="7949" width="12" style="223" customWidth="1"/>
    <col min="7950" max="7950" width="10.5703125" style="223" customWidth="1"/>
    <col min="7951" max="7951" width="10.85546875" style="223" customWidth="1"/>
    <col min="7952" max="7952" width="12" style="223" customWidth="1"/>
    <col min="7953" max="7953" width="8.28515625" style="223" customWidth="1"/>
    <col min="7954" max="7954" width="9.28515625" style="223" customWidth="1"/>
    <col min="7955" max="7955" width="11.28515625" style="223" customWidth="1"/>
    <col min="7956" max="7956" width="10.28515625" style="223" customWidth="1"/>
    <col min="7957" max="8192" width="9.140625" style="223"/>
    <col min="8193" max="8193" width="30.140625" style="223" customWidth="1"/>
    <col min="8194" max="8194" width="11.7109375" style="223" customWidth="1"/>
    <col min="8195" max="8195" width="11.140625" style="223" customWidth="1"/>
    <col min="8196" max="8196" width="10.42578125" style="223" customWidth="1"/>
    <col min="8197" max="8197" width="10" style="223" customWidth="1"/>
    <col min="8198" max="8198" width="11.28515625" style="223" customWidth="1"/>
    <col min="8199" max="8201" width="9.140625" style="223"/>
    <col min="8202" max="8202" width="24.7109375" style="223" customWidth="1"/>
    <col min="8203" max="8203" width="0" style="223" hidden="1" customWidth="1"/>
    <col min="8204" max="8204" width="11.85546875" style="223" customWidth="1"/>
    <col min="8205" max="8205" width="12" style="223" customWidth="1"/>
    <col min="8206" max="8206" width="10.5703125" style="223" customWidth="1"/>
    <col min="8207" max="8207" width="10.85546875" style="223" customWidth="1"/>
    <col min="8208" max="8208" width="12" style="223" customWidth="1"/>
    <col min="8209" max="8209" width="8.28515625" style="223" customWidth="1"/>
    <col min="8210" max="8210" width="9.28515625" style="223" customWidth="1"/>
    <col min="8211" max="8211" width="11.28515625" style="223" customWidth="1"/>
    <col min="8212" max="8212" width="10.28515625" style="223" customWidth="1"/>
    <col min="8213" max="8448" width="9.140625" style="223"/>
    <col min="8449" max="8449" width="30.140625" style="223" customWidth="1"/>
    <col min="8450" max="8450" width="11.7109375" style="223" customWidth="1"/>
    <col min="8451" max="8451" width="11.140625" style="223" customWidth="1"/>
    <col min="8452" max="8452" width="10.42578125" style="223" customWidth="1"/>
    <col min="8453" max="8453" width="10" style="223" customWidth="1"/>
    <col min="8454" max="8454" width="11.28515625" style="223" customWidth="1"/>
    <col min="8455" max="8457" width="9.140625" style="223"/>
    <col min="8458" max="8458" width="24.7109375" style="223" customWidth="1"/>
    <col min="8459" max="8459" width="0" style="223" hidden="1" customWidth="1"/>
    <col min="8460" max="8460" width="11.85546875" style="223" customWidth="1"/>
    <col min="8461" max="8461" width="12" style="223" customWidth="1"/>
    <col min="8462" max="8462" width="10.5703125" style="223" customWidth="1"/>
    <col min="8463" max="8463" width="10.85546875" style="223" customWidth="1"/>
    <col min="8464" max="8464" width="12" style="223" customWidth="1"/>
    <col min="8465" max="8465" width="8.28515625" style="223" customWidth="1"/>
    <col min="8466" max="8466" width="9.28515625" style="223" customWidth="1"/>
    <col min="8467" max="8467" width="11.28515625" style="223" customWidth="1"/>
    <col min="8468" max="8468" width="10.28515625" style="223" customWidth="1"/>
    <col min="8469" max="8704" width="9.140625" style="223"/>
    <col min="8705" max="8705" width="30.140625" style="223" customWidth="1"/>
    <col min="8706" max="8706" width="11.7109375" style="223" customWidth="1"/>
    <col min="8707" max="8707" width="11.140625" style="223" customWidth="1"/>
    <col min="8708" max="8708" width="10.42578125" style="223" customWidth="1"/>
    <col min="8709" max="8709" width="10" style="223" customWidth="1"/>
    <col min="8710" max="8710" width="11.28515625" style="223" customWidth="1"/>
    <col min="8711" max="8713" width="9.140625" style="223"/>
    <col min="8714" max="8714" width="24.7109375" style="223" customWidth="1"/>
    <col min="8715" max="8715" width="0" style="223" hidden="1" customWidth="1"/>
    <col min="8716" max="8716" width="11.85546875" style="223" customWidth="1"/>
    <col min="8717" max="8717" width="12" style="223" customWidth="1"/>
    <col min="8718" max="8718" width="10.5703125" style="223" customWidth="1"/>
    <col min="8719" max="8719" width="10.85546875" style="223" customWidth="1"/>
    <col min="8720" max="8720" width="12" style="223" customWidth="1"/>
    <col min="8721" max="8721" width="8.28515625" style="223" customWidth="1"/>
    <col min="8722" max="8722" width="9.28515625" style="223" customWidth="1"/>
    <col min="8723" max="8723" width="11.28515625" style="223" customWidth="1"/>
    <col min="8724" max="8724" width="10.28515625" style="223" customWidth="1"/>
    <col min="8725" max="8960" width="9.140625" style="223"/>
    <col min="8961" max="8961" width="30.140625" style="223" customWidth="1"/>
    <col min="8962" max="8962" width="11.7109375" style="223" customWidth="1"/>
    <col min="8963" max="8963" width="11.140625" style="223" customWidth="1"/>
    <col min="8964" max="8964" width="10.42578125" style="223" customWidth="1"/>
    <col min="8965" max="8965" width="10" style="223" customWidth="1"/>
    <col min="8966" max="8966" width="11.28515625" style="223" customWidth="1"/>
    <col min="8967" max="8969" width="9.140625" style="223"/>
    <col min="8970" max="8970" width="24.7109375" style="223" customWidth="1"/>
    <col min="8971" max="8971" width="0" style="223" hidden="1" customWidth="1"/>
    <col min="8972" max="8972" width="11.85546875" style="223" customWidth="1"/>
    <col min="8973" max="8973" width="12" style="223" customWidth="1"/>
    <col min="8974" max="8974" width="10.5703125" style="223" customWidth="1"/>
    <col min="8975" max="8975" width="10.85546875" style="223" customWidth="1"/>
    <col min="8976" max="8976" width="12" style="223" customWidth="1"/>
    <col min="8977" max="8977" width="8.28515625" style="223" customWidth="1"/>
    <col min="8978" max="8978" width="9.28515625" style="223" customWidth="1"/>
    <col min="8979" max="8979" width="11.28515625" style="223" customWidth="1"/>
    <col min="8980" max="8980" width="10.28515625" style="223" customWidth="1"/>
    <col min="8981" max="9216" width="9.140625" style="223"/>
    <col min="9217" max="9217" width="30.140625" style="223" customWidth="1"/>
    <col min="9218" max="9218" width="11.7109375" style="223" customWidth="1"/>
    <col min="9219" max="9219" width="11.140625" style="223" customWidth="1"/>
    <col min="9220" max="9220" width="10.42578125" style="223" customWidth="1"/>
    <col min="9221" max="9221" width="10" style="223" customWidth="1"/>
    <col min="9222" max="9222" width="11.28515625" style="223" customWidth="1"/>
    <col min="9223" max="9225" width="9.140625" style="223"/>
    <col min="9226" max="9226" width="24.7109375" style="223" customWidth="1"/>
    <col min="9227" max="9227" width="0" style="223" hidden="1" customWidth="1"/>
    <col min="9228" max="9228" width="11.85546875" style="223" customWidth="1"/>
    <col min="9229" max="9229" width="12" style="223" customWidth="1"/>
    <col min="9230" max="9230" width="10.5703125" style="223" customWidth="1"/>
    <col min="9231" max="9231" width="10.85546875" style="223" customWidth="1"/>
    <col min="9232" max="9232" width="12" style="223" customWidth="1"/>
    <col min="9233" max="9233" width="8.28515625" style="223" customWidth="1"/>
    <col min="9234" max="9234" width="9.28515625" style="223" customWidth="1"/>
    <col min="9235" max="9235" width="11.28515625" style="223" customWidth="1"/>
    <col min="9236" max="9236" width="10.28515625" style="223" customWidth="1"/>
    <col min="9237" max="9472" width="9.140625" style="223"/>
    <col min="9473" max="9473" width="30.140625" style="223" customWidth="1"/>
    <col min="9474" max="9474" width="11.7109375" style="223" customWidth="1"/>
    <col min="9475" max="9475" width="11.140625" style="223" customWidth="1"/>
    <col min="9476" max="9476" width="10.42578125" style="223" customWidth="1"/>
    <col min="9477" max="9477" width="10" style="223" customWidth="1"/>
    <col min="9478" max="9478" width="11.28515625" style="223" customWidth="1"/>
    <col min="9479" max="9481" width="9.140625" style="223"/>
    <col min="9482" max="9482" width="24.7109375" style="223" customWidth="1"/>
    <col min="9483" max="9483" width="0" style="223" hidden="1" customWidth="1"/>
    <col min="9484" max="9484" width="11.85546875" style="223" customWidth="1"/>
    <col min="9485" max="9485" width="12" style="223" customWidth="1"/>
    <col min="9486" max="9486" width="10.5703125" style="223" customWidth="1"/>
    <col min="9487" max="9487" width="10.85546875" style="223" customWidth="1"/>
    <col min="9488" max="9488" width="12" style="223" customWidth="1"/>
    <col min="9489" max="9489" width="8.28515625" style="223" customWidth="1"/>
    <col min="9490" max="9490" width="9.28515625" style="223" customWidth="1"/>
    <col min="9491" max="9491" width="11.28515625" style="223" customWidth="1"/>
    <col min="9492" max="9492" width="10.28515625" style="223" customWidth="1"/>
    <col min="9493" max="9728" width="9.140625" style="223"/>
    <col min="9729" max="9729" width="30.140625" style="223" customWidth="1"/>
    <col min="9730" max="9730" width="11.7109375" style="223" customWidth="1"/>
    <col min="9731" max="9731" width="11.140625" style="223" customWidth="1"/>
    <col min="9732" max="9732" width="10.42578125" style="223" customWidth="1"/>
    <col min="9733" max="9733" width="10" style="223" customWidth="1"/>
    <col min="9734" max="9734" width="11.28515625" style="223" customWidth="1"/>
    <col min="9735" max="9737" width="9.140625" style="223"/>
    <col min="9738" max="9738" width="24.7109375" style="223" customWidth="1"/>
    <col min="9739" max="9739" width="0" style="223" hidden="1" customWidth="1"/>
    <col min="9740" max="9740" width="11.85546875" style="223" customWidth="1"/>
    <col min="9741" max="9741" width="12" style="223" customWidth="1"/>
    <col min="9742" max="9742" width="10.5703125" style="223" customWidth="1"/>
    <col min="9743" max="9743" width="10.85546875" style="223" customWidth="1"/>
    <col min="9744" max="9744" width="12" style="223" customWidth="1"/>
    <col min="9745" max="9745" width="8.28515625" style="223" customWidth="1"/>
    <col min="9746" max="9746" width="9.28515625" style="223" customWidth="1"/>
    <col min="9747" max="9747" width="11.28515625" style="223" customWidth="1"/>
    <col min="9748" max="9748" width="10.28515625" style="223" customWidth="1"/>
    <col min="9749" max="9984" width="9.140625" style="223"/>
    <col min="9985" max="9985" width="30.140625" style="223" customWidth="1"/>
    <col min="9986" max="9986" width="11.7109375" style="223" customWidth="1"/>
    <col min="9987" max="9987" width="11.140625" style="223" customWidth="1"/>
    <col min="9988" max="9988" width="10.42578125" style="223" customWidth="1"/>
    <col min="9989" max="9989" width="10" style="223" customWidth="1"/>
    <col min="9990" max="9990" width="11.28515625" style="223" customWidth="1"/>
    <col min="9991" max="9993" width="9.140625" style="223"/>
    <col min="9994" max="9994" width="24.7109375" style="223" customWidth="1"/>
    <col min="9995" max="9995" width="0" style="223" hidden="1" customWidth="1"/>
    <col min="9996" max="9996" width="11.85546875" style="223" customWidth="1"/>
    <col min="9997" max="9997" width="12" style="223" customWidth="1"/>
    <col min="9998" max="9998" width="10.5703125" style="223" customWidth="1"/>
    <col min="9999" max="9999" width="10.85546875" style="223" customWidth="1"/>
    <col min="10000" max="10000" width="12" style="223" customWidth="1"/>
    <col min="10001" max="10001" width="8.28515625" style="223" customWidth="1"/>
    <col min="10002" max="10002" width="9.28515625" style="223" customWidth="1"/>
    <col min="10003" max="10003" width="11.28515625" style="223" customWidth="1"/>
    <col min="10004" max="10004" width="10.28515625" style="223" customWidth="1"/>
    <col min="10005" max="10240" width="9.140625" style="223"/>
    <col min="10241" max="10241" width="30.140625" style="223" customWidth="1"/>
    <col min="10242" max="10242" width="11.7109375" style="223" customWidth="1"/>
    <col min="10243" max="10243" width="11.140625" style="223" customWidth="1"/>
    <col min="10244" max="10244" width="10.42578125" style="223" customWidth="1"/>
    <col min="10245" max="10245" width="10" style="223" customWidth="1"/>
    <col min="10246" max="10246" width="11.28515625" style="223" customWidth="1"/>
    <col min="10247" max="10249" width="9.140625" style="223"/>
    <col min="10250" max="10250" width="24.7109375" style="223" customWidth="1"/>
    <col min="10251" max="10251" width="0" style="223" hidden="1" customWidth="1"/>
    <col min="10252" max="10252" width="11.85546875" style="223" customWidth="1"/>
    <col min="10253" max="10253" width="12" style="223" customWidth="1"/>
    <col min="10254" max="10254" width="10.5703125" style="223" customWidth="1"/>
    <col min="10255" max="10255" width="10.85546875" style="223" customWidth="1"/>
    <col min="10256" max="10256" width="12" style="223" customWidth="1"/>
    <col min="10257" max="10257" width="8.28515625" style="223" customWidth="1"/>
    <col min="10258" max="10258" width="9.28515625" style="223" customWidth="1"/>
    <col min="10259" max="10259" width="11.28515625" style="223" customWidth="1"/>
    <col min="10260" max="10260" width="10.28515625" style="223" customWidth="1"/>
    <col min="10261" max="10496" width="9.140625" style="223"/>
    <col min="10497" max="10497" width="30.140625" style="223" customWidth="1"/>
    <col min="10498" max="10498" width="11.7109375" style="223" customWidth="1"/>
    <col min="10499" max="10499" width="11.140625" style="223" customWidth="1"/>
    <col min="10500" max="10500" width="10.42578125" style="223" customWidth="1"/>
    <col min="10501" max="10501" width="10" style="223" customWidth="1"/>
    <col min="10502" max="10502" width="11.28515625" style="223" customWidth="1"/>
    <col min="10503" max="10505" width="9.140625" style="223"/>
    <col min="10506" max="10506" width="24.7109375" style="223" customWidth="1"/>
    <col min="10507" max="10507" width="0" style="223" hidden="1" customWidth="1"/>
    <col min="10508" max="10508" width="11.85546875" style="223" customWidth="1"/>
    <col min="10509" max="10509" width="12" style="223" customWidth="1"/>
    <col min="10510" max="10510" width="10.5703125" style="223" customWidth="1"/>
    <col min="10511" max="10511" width="10.85546875" style="223" customWidth="1"/>
    <col min="10512" max="10512" width="12" style="223" customWidth="1"/>
    <col min="10513" max="10513" width="8.28515625" style="223" customWidth="1"/>
    <col min="10514" max="10514" width="9.28515625" style="223" customWidth="1"/>
    <col min="10515" max="10515" width="11.28515625" style="223" customWidth="1"/>
    <col min="10516" max="10516" width="10.28515625" style="223" customWidth="1"/>
    <col min="10517" max="10752" width="9.140625" style="223"/>
    <col min="10753" max="10753" width="30.140625" style="223" customWidth="1"/>
    <col min="10754" max="10754" width="11.7109375" style="223" customWidth="1"/>
    <col min="10755" max="10755" width="11.140625" style="223" customWidth="1"/>
    <col min="10756" max="10756" width="10.42578125" style="223" customWidth="1"/>
    <col min="10757" max="10757" width="10" style="223" customWidth="1"/>
    <col min="10758" max="10758" width="11.28515625" style="223" customWidth="1"/>
    <col min="10759" max="10761" width="9.140625" style="223"/>
    <col min="10762" max="10762" width="24.7109375" style="223" customWidth="1"/>
    <col min="10763" max="10763" width="0" style="223" hidden="1" customWidth="1"/>
    <col min="10764" max="10764" width="11.85546875" style="223" customWidth="1"/>
    <col min="10765" max="10765" width="12" style="223" customWidth="1"/>
    <col min="10766" max="10766" width="10.5703125" style="223" customWidth="1"/>
    <col min="10767" max="10767" width="10.85546875" style="223" customWidth="1"/>
    <col min="10768" max="10768" width="12" style="223" customWidth="1"/>
    <col min="10769" max="10769" width="8.28515625" style="223" customWidth="1"/>
    <col min="10770" max="10770" width="9.28515625" style="223" customWidth="1"/>
    <col min="10771" max="10771" width="11.28515625" style="223" customWidth="1"/>
    <col min="10772" max="10772" width="10.28515625" style="223" customWidth="1"/>
    <col min="10773" max="11008" width="9.140625" style="223"/>
    <col min="11009" max="11009" width="30.140625" style="223" customWidth="1"/>
    <col min="11010" max="11010" width="11.7109375" style="223" customWidth="1"/>
    <col min="11011" max="11011" width="11.140625" style="223" customWidth="1"/>
    <col min="11012" max="11012" width="10.42578125" style="223" customWidth="1"/>
    <col min="11013" max="11013" width="10" style="223" customWidth="1"/>
    <col min="11014" max="11014" width="11.28515625" style="223" customWidth="1"/>
    <col min="11015" max="11017" width="9.140625" style="223"/>
    <col min="11018" max="11018" width="24.7109375" style="223" customWidth="1"/>
    <col min="11019" max="11019" width="0" style="223" hidden="1" customWidth="1"/>
    <col min="11020" max="11020" width="11.85546875" style="223" customWidth="1"/>
    <col min="11021" max="11021" width="12" style="223" customWidth="1"/>
    <col min="11022" max="11022" width="10.5703125" style="223" customWidth="1"/>
    <col min="11023" max="11023" width="10.85546875" style="223" customWidth="1"/>
    <col min="11024" max="11024" width="12" style="223" customWidth="1"/>
    <col min="11025" max="11025" width="8.28515625" style="223" customWidth="1"/>
    <col min="11026" max="11026" width="9.28515625" style="223" customWidth="1"/>
    <col min="11027" max="11027" width="11.28515625" style="223" customWidth="1"/>
    <col min="11028" max="11028" width="10.28515625" style="223" customWidth="1"/>
    <col min="11029" max="11264" width="9.140625" style="223"/>
    <col min="11265" max="11265" width="30.140625" style="223" customWidth="1"/>
    <col min="11266" max="11266" width="11.7109375" style="223" customWidth="1"/>
    <col min="11267" max="11267" width="11.140625" style="223" customWidth="1"/>
    <col min="11268" max="11268" width="10.42578125" style="223" customWidth="1"/>
    <col min="11269" max="11269" width="10" style="223" customWidth="1"/>
    <col min="11270" max="11270" width="11.28515625" style="223" customWidth="1"/>
    <col min="11271" max="11273" width="9.140625" style="223"/>
    <col min="11274" max="11274" width="24.7109375" style="223" customWidth="1"/>
    <col min="11275" max="11275" width="0" style="223" hidden="1" customWidth="1"/>
    <col min="11276" max="11276" width="11.85546875" style="223" customWidth="1"/>
    <col min="11277" max="11277" width="12" style="223" customWidth="1"/>
    <col min="11278" max="11278" width="10.5703125" style="223" customWidth="1"/>
    <col min="11279" max="11279" width="10.85546875" style="223" customWidth="1"/>
    <col min="11280" max="11280" width="12" style="223" customWidth="1"/>
    <col min="11281" max="11281" width="8.28515625" style="223" customWidth="1"/>
    <col min="11282" max="11282" width="9.28515625" style="223" customWidth="1"/>
    <col min="11283" max="11283" width="11.28515625" style="223" customWidth="1"/>
    <col min="11284" max="11284" width="10.28515625" style="223" customWidth="1"/>
    <col min="11285" max="11520" width="9.140625" style="223"/>
    <col min="11521" max="11521" width="30.140625" style="223" customWidth="1"/>
    <col min="11522" max="11522" width="11.7109375" style="223" customWidth="1"/>
    <col min="11523" max="11523" width="11.140625" style="223" customWidth="1"/>
    <col min="11524" max="11524" width="10.42578125" style="223" customWidth="1"/>
    <col min="11525" max="11525" width="10" style="223" customWidth="1"/>
    <col min="11526" max="11526" width="11.28515625" style="223" customWidth="1"/>
    <col min="11527" max="11529" width="9.140625" style="223"/>
    <col min="11530" max="11530" width="24.7109375" style="223" customWidth="1"/>
    <col min="11531" max="11531" width="0" style="223" hidden="1" customWidth="1"/>
    <col min="11532" max="11532" width="11.85546875" style="223" customWidth="1"/>
    <col min="11533" max="11533" width="12" style="223" customWidth="1"/>
    <col min="11534" max="11534" width="10.5703125" style="223" customWidth="1"/>
    <col min="11535" max="11535" width="10.85546875" style="223" customWidth="1"/>
    <col min="11536" max="11536" width="12" style="223" customWidth="1"/>
    <col min="11537" max="11537" width="8.28515625" style="223" customWidth="1"/>
    <col min="11538" max="11538" width="9.28515625" style="223" customWidth="1"/>
    <col min="11539" max="11539" width="11.28515625" style="223" customWidth="1"/>
    <col min="11540" max="11540" width="10.28515625" style="223" customWidth="1"/>
    <col min="11541" max="11776" width="9.140625" style="223"/>
    <col min="11777" max="11777" width="30.140625" style="223" customWidth="1"/>
    <col min="11778" max="11778" width="11.7109375" style="223" customWidth="1"/>
    <col min="11779" max="11779" width="11.140625" style="223" customWidth="1"/>
    <col min="11780" max="11780" width="10.42578125" style="223" customWidth="1"/>
    <col min="11781" max="11781" width="10" style="223" customWidth="1"/>
    <col min="11782" max="11782" width="11.28515625" style="223" customWidth="1"/>
    <col min="11783" max="11785" width="9.140625" style="223"/>
    <col min="11786" max="11786" width="24.7109375" style="223" customWidth="1"/>
    <col min="11787" max="11787" width="0" style="223" hidden="1" customWidth="1"/>
    <col min="11788" max="11788" width="11.85546875" style="223" customWidth="1"/>
    <col min="11789" max="11789" width="12" style="223" customWidth="1"/>
    <col min="11790" max="11790" width="10.5703125" style="223" customWidth="1"/>
    <col min="11791" max="11791" width="10.85546875" style="223" customWidth="1"/>
    <col min="11792" max="11792" width="12" style="223" customWidth="1"/>
    <col min="11793" max="11793" width="8.28515625" style="223" customWidth="1"/>
    <col min="11794" max="11794" width="9.28515625" style="223" customWidth="1"/>
    <col min="11795" max="11795" width="11.28515625" style="223" customWidth="1"/>
    <col min="11796" max="11796" width="10.28515625" style="223" customWidth="1"/>
    <col min="11797" max="12032" width="9.140625" style="223"/>
    <col min="12033" max="12033" width="30.140625" style="223" customWidth="1"/>
    <col min="12034" max="12034" width="11.7109375" style="223" customWidth="1"/>
    <col min="12035" max="12035" width="11.140625" style="223" customWidth="1"/>
    <col min="12036" max="12036" width="10.42578125" style="223" customWidth="1"/>
    <col min="12037" max="12037" width="10" style="223" customWidth="1"/>
    <col min="12038" max="12038" width="11.28515625" style="223" customWidth="1"/>
    <col min="12039" max="12041" width="9.140625" style="223"/>
    <col min="12042" max="12042" width="24.7109375" style="223" customWidth="1"/>
    <col min="12043" max="12043" width="0" style="223" hidden="1" customWidth="1"/>
    <col min="12044" max="12044" width="11.85546875" style="223" customWidth="1"/>
    <col min="12045" max="12045" width="12" style="223" customWidth="1"/>
    <col min="12046" max="12046" width="10.5703125" style="223" customWidth="1"/>
    <col min="12047" max="12047" width="10.85546875" style="223" customWidth="1"/>
    <col min="12048" max="12048" width="12" style="223" customWidth="1"/>
    <col min="12049" max="12049" width="8.28515625" style="223" customWidth="1"/>
    <col min="12050" max="12050" width="9.28515625" style="223" customWidth="1"/>
    <col min="12051" max="12051" width="11.28515625" style="223" customWidth="1"/>
    <col min="12052" max="12052" width="10.28515625" style="223" customWidth="1"/>
    <col min="12053" max="12288" width="9.140625" style="223"/>
    <col min="12289" max="12289" width="30.140625" style="223" customWidth="1"/>
    <col min="12290" max="12290" width="11.7109375" style="223" customWidth="1"/>
    <col min="12291" max="12291" width="11.140625" style="223" customWidth="1"/>
    <col min="12292" max="12292" width="10.42578125" style="223" customWidth="1"/>
    <col min="12293" max="12293" width="10" style="223" customWidth="1"/>
    <col min="12294" max="12294" width="11.28515625" style="223" customWidth="1"/>
    <col min="12295" max="12297" width="9.140625" style="223"/>
    <col min="12298" max="12298" width="24.7109375" style="223" customWidth="1"/>
    <col min="12299" max="12299" width="0" style="223" hidden="1" customWidth="1"/>
    <col min="12300" max="12300" width="11.85546875" style="223" customWidth="1"/>
    <col min="12301" max="12301" width="12" style="223" customWidth="1"/>
    <col min="12302" max="12302" width="10.5703125" style="223" customWidth="1"/>
    <col min="12303" max="12303" width="10.85546875" style="223" customWidth="1"/>
    <col min="12304" max="12304" width="12" style="223" customWidth="1"/>
    <col min="12305" max="12305" width="8.28515625" style="223" customWidth="1"/>
    <col min="12306" max="12306" width="9.28515625" style="223" customWidth="1"/>
    <col min="12307" max="12307" width="11.28515625" style="223" customWidth="1"/>
    <col min="12308" max="12308" width="10.28515625" style="223" customWidth="1"/>
    <col min="12309" max="12544" width="9.140625" style="223"/>
    <col min="12545" max="12545" width="30.140625" style="223" customWidth="1"/>
    <col min="12546" max="12546" width="11.7109375" style="223" customWidth="1"/>
    <col min="12547" max="12547" width="11.140625" style="223" customWidth="1"/>
    <col min="12548" max="12548" width="10.42578125" style="223" customWidth="1"/>
    <col min="12549" max="12549" width="10" style="223" customWidth="1"/>
    <col min="12550" max="12550" width="11.28515625" style="223" customWidth="1"/>
    <col min="12551" max="12553" width="9.140625" style="223"/>
    <col min="12554" max="12554" width="24.7109375" style="223" customWidth="1"/>
    <col min="12555" max="12555" width="0" style="223" hidden="1" customWidth="1"/>
    <col min="12556" max="12556" width="11.85546875" style="223" customWidth="1"/>
    <col min="12557" max="12557" width="12" style="223" customWidth="1"/>
    <col min="12558" max="12558" width="10.5703125" style="223" customWidth="1"/>
    <col min="12559" max="12559" width="10.85546875" style="223" customWidth="1"/>
    <col min="12560" max="12560" width="12" style="223" customWidth="1"/>
    <col min="12561" max="12561" width="8.28515625" style="223" customWidth="1"/>
    <col min="12562" max="12562" width="9.28515625" style="223" customWidth="1"/>
    <col min="12563" max="12563" width="11.28515625" style="223" customWidth="1"/>
    <col min="12564" max="12564" width="10.28515625" style="223" customWidth="1"/>
    <col min="12565" max="12800" width="9.140625" style="223"/>
    <col min="12801" max="12801" width="30.140625" style="223" customWidth="1"/>
    <col min="12802" max="12802" width="11.7109375" style="223" customWidth="1"/>
    <col min="12803" max="12803" width="11.140625" style="223" customWidth="1"/>
    <col min="12804" max="12804" width="10.42578125" style="223" customWidth="1"/>
    <col min="12805" max="12805" width="10" style="223" customWidth="1"/>
    <col min="12806" max="12806" width="11.28515625" style="223" customWidth="1"/>
    <col min="12807" max="12809" width="9.140625" style="223"/>
    <col min="12810" max="12810" width="24.7109375" style="223" customWidth="1"/>
    <col min="12811" max="12811" width="0" style="223" hidden="1" customWidth="1"/>
    <col min="12812" max="12812" width="11.85546875" style="223" customWidth="1"/>
    <col min="12813" max="12813" width="12" style="223" customWidth="1"/>
    <col min="12814" max="12814" width="10.5703125" style="223" customWidth="1"/>
    <col min="12815" max="12815" width="10.85546875" style="223" customWidth="1"/>
    <col min="12816" max="12816" width="12" style="223" customWidth="1"/>
    <col min="12817" max="12817" width="8.28515625" style="223" customWidth="1"/>
    <col min="12818" max="12818" width="9.28515625" style="223" customWidth="1"/>
    <col min="12819" max="12819" width="11.28515625" style="223" customWidth="1"/>
    <col min="12820" max="12820" width="10.28515625" style="223" customWidth="1"/>
    <col min="12821" max="13056" width="9.140625" style="223"/>
    <col min="13057" max="13057" width="30.140625" style="223" customWidth="1"/>
    <col min="13058" max="13058" width="11.7109375" style="223" customWidth="1"/>
    <col min="13059" max="13059" width="11.140625" style="223" customWidth="1"/>
    <col min="13060" max="13060" width="10.42578125" style="223" customWidth="1"/>
    <col min="13061" max="13061" width="10" style="223" customWidth="1"/>
    <col min="13062" max="13062" width="11.28515625" style="223" customWidth="1"/>
    <col min="13063" max="13065" width="9.140625" style="223"/>
    <col min="13066" max="13066" width="24.7109375" style="223" customWidth="1"/>
    <col min="13067" max="13067" width="0" style="223" hidden="1" customWidth="1"/>
    <col min="13068" max="13068" width="11.85546875" style="223" customWidth="1"/>
    <col min="13069" max="13069" width="12" style="223" customWidth="1"/>
    <col min="13070" max="13070" width="10.5703125" style="223" customWidth="1"/>
    <col min="13071" max="13071" width="10.85546875" style="223" customWidth="1"/>
    <col min="13072" max="13072" width="12" style="223" customWidth="1"/>
    <col min="13073" max="13073" width="8.28515625" style="223" customWidth="1"/>
    <col min="13074" max="13074" width="9.28515625" style="223" customWidth="1"/>
    <col min="13075" max="13075" width="11.28515625" style="223" customWidth="1"/>
    <col min="13076" max="13076" width="10.28515625" style="223" customWidth="1"/>
    <col min="13077" max="13312" width="9.140625" style="223"/>
    <col min="13313" max="13313" width="30.140625" style="223" customWidth="1"/>
    <col min="13314" max="13314" width="11.7109375" style="223" customWidth="1"/>
    <col min="13315" max="13315" width="11.140625" style="223" customWidth="1"/>
    <col min="13316" max="13316" width="10.42578125" style="223" customWidth="1"/>
    <col min="13317" max="13317" width="10" style="223" customWidth="1"/>
    <col min="13318" max="13318" width="11.28515625" style="223" customWidth="1"/>
    <col min="13319" max="13321" width="9.140625" style="223"/>
    <col min="13322" max="13322" width="24.7109375" style="223" customWidth="1"/>
    <col min="13323" max="13323" width="0" style="223" hidden="1" customWidth="1"/>
    <col min="13324" max="13324" width="11.85546875" style="223" customWidth="1"/>
    <col min="13325" max="13325" width="12" style="223" customWidth="1"/>
    <col min="13326" max="13326" width="10.5703125" style="223" customWidth="1"/>
    <col min="13327" max="13327" width="10.85546875" style="223" customWidth="1"/>
    <col min="13328" max="13328" width="12" style="223" customWidth="1"/>
    <col min="13329" max="13329" width="8.28515625" style="223" customWidth="1"/>
    <col min="13330" max="13330" width="9.28515625" style="223" customWidth="1"/>
    <col min="13331" max="13331" width="11.28515625" style="223" customWidth="1"/>
    <col min="13332" max="13332" width="10.28515625" style="223" customWidth="1"/>
    <col min="13333" max="13568" width="9.140625" style="223"/>
    <col min="13569" max="13569" width="30.140625" style="223" customWidth="1"/>
    <col min="13570" max="13570" width="11.7109375" style="223" customWidth="1"/>
    <col min="13571" max="13571" width="11.140625" style="223" customWidth="1"/>
    <col min="13572" max="13572" width="10.42578125" style="223" customWidth="1"/>
    <col min="13573" max="13573" width="10" style="223" customWidth="1"/>
    <col min="13574" max="13574" width="11.28515625" style="223" customWidth="1"/>
    <col min="13575" max="13577" width="9.140625" style="223"/>
    <col min="13578" max="13578" width="24.7109375" style="223" customWidth="1"/>
    <col min="13579" max="13579" width="0" style="223" hidden="1" customWidth="1"/>
    <col min="13580" max="13580" width="11.85546875" style="223" customWidth="1"/>
    <col min="13581" max="13581" width="12" style="223" customWidth="1"/>
    <col min="13582" max="13582" width="10.5703125" style="223" customWidth="1"/>
    <col min="13583" max="13583" width="10.85546875" style="223" customWidth="1"/>
    <col min="13584" max="13584" width="12" style="223" customWidth="1"/>
    <col min="13585" max="13585" width="8.28515625" style="223" customWidth="1"/>
    <col min="13586" max="13586" width="9.28515625" style="223" customWidth="1"/>
    <col min="13587" max="13587" width="11.28515625" style="223" customWidth="1"/>
    <col min="13588" max="13588" width="10.28515625" style="223" customWidth="1"/>
    <col min="13589" max="13824" width="9.140625" style="223"/>
    <col min="13825" max="13825" width="30.140625" style="223" customWidth="1"/>
    <col min="13826" max="13826" width="11.7109375" style="223" customWidth="1"/>
    <col min="13827" max="13827" width="11.140625" style="223" customWidth="1"/>
    <col min="13828" max="13828" width="10.42578125" style="223" customWidth="1"/>
    <col min="13829" max="13829" width="10" style="223" customWidth="1"/>
    <col min="13830" max="13830" width="11.28515625" style="223" customWidth="1"/>
    <col min="13831" max="13833" width="9.140625" style="223"/>
    <col min="13834" max="13834" width="24.7109375" style="223" customWidth="1"/>
    <col min="13835" max="13835" width="0" style="223" hidden="1" customWidth="1"/>
    <col min="13836" max="13836" width="11.85546875" style="223" customWidth="1"/>
    <col min="13837" max="13837" width="12" style="223" customWidth="1"/>
    <col min="13838" max="13838" width="10.5703125" style="223" customWidth="1"/>
    <col min="13839" max="13839" width="10.85546875" style="223" customWidth="1"/>
    <col min="13840" max="13840" width="12" style="223" customWidth="1"/>
    <col min="13841" max="13841" width="8.28515625" style="223" customWidth="1"/>
    <col min="13842" max="13842" width="9.28515625" style="223" customWidth="1"/>
    <col min="13843" max="13843" width="11.28515625" style="223" customWidth="1"/>
    <col min="13844" max="13844" width="10.28515625" style="223" customWidth="1"/>
    <col min="13845" max="14080" width="9.140625" style="223"/>
    <col min="14081" max="14081" width="30.140625" style="223" customWidth="1"/>
    <col min="14082" max="14082" width="11.7109375" style="223" customWidth="1"/>
    <col min="14083" max="14083" width="11.140625" style="223" customWidth="1"/>
    <col min="14084" max="14084" width="10.42578125" style="223" customWidth="1"/>
    <col min="14085" max="14085" width="10" style="223" customWidth="1"/>
    <col min="14086" max="14086" width="11.28515625" style="223" customWidth="1"/>
    <col min="14087" max="14089" width="9.140625" style="223"/>
    <col min="14090" max="14090" width="24.7109375" style="223" customWidth="1"/>
    <col min="14091" max="14091" width="0" style="223" hidden="1" customWidth="1"/>
    <col min="14092" max="14092" width="11.85546875" style="223" customWidth="1"/>
    <col min="14093" max="14093" width="12" style="223" customWidth="1"/>
    <col min="14094" max="14094" width="10.5703125" style="223" customWidth="1"/>
    <col min="14095" max="14095" width="10.85546875" style="223" customWidth="1"/>
    <col min="14096" max="14096" width="12" style="223" customWidth="1"/>
    <col min="14097" max="14097" width="8.28515625" style="223" customWidth="1"/>
    <col min="14098" max="14098" width="9.28515625" style="223" customWidth="1"/>
    <col min="14099" max="14099" width="11.28515625" style="223" customWidth="1"/>
    <col min="14100" max="14100" width="10.28515625" style="223" customWidth="1"/>
    <col min="14101" max="14336" width="9.140625" style="223"/>
    <col min="14337" max="14337" width="30.140625" style="223" customWidth="1"/>
    <col min="14338" max="14338" width="11.7109375" style="223" customWidth="1"/>
    <col min="14339" max="14339" width="11.140625" style="223" customWidth="1"/>
    <col min="14340" max="14340" width="10.42578125" style="223" customWidth="1"/>
    <col min="14341" max="14341" width="10" style="223" customWidth="1"/>
    <col min="14342" max="14342" width="11.28515625" style="223" customWidth="1"/>
    <col min="14343" max="14345" width="9.140625" style="223"/>
    <col min="14346" max="14346" width="24.7109375" style="223" customWidth="1"/>
    <col min="14347" max="14347" width="0" style="223" hidden="1" customWidth="1"/>
    <col min="14348" max="14348" width="11.85546875" style="223" customWidth="1"/>
    <col min="14349" max="14349" width="12" style="223" customWidth="1"/>
    <col min="14350" max="14350" width="10.5703125" style="223" customWidth="1"/>
    <col min="14351" max="14351" width="10.85546875" style="223" customWidth="1"/>
    <col min="14352" max="14352" width="12" style="223" customWidth="1"/>
    <col min="14353" max="14353" width="8.28515625" style="223" customWidth="1"/>
    <col min="14354" max="14354" width="9.28515625" style="223" customWidth="1"/>
    <col min="14355" max="14355" width="11.28515625" style="223" customWidth="1"/>
    <col min="14356" max="14356" width="10.28515625" style="223" customWidth="1"/>
    <col min="14357" max="14592" width="9.140625" style="223"/>
    <col min="14593" max="14593" width="30.140625" style="223" customWidth="1"/>
    <col min="14594" max="14594" width="11.7109375" style="223" customWidth="1"/>
    <col min="14595" max="14595" width="11.140625" style="223" customWidth="1"/>
    <col min="14596" max="14596" width="10.42578125" style="223" customWidth="1"/>
    <col min="14597" max="14597" width="10" style="223" customWidth="1"/>
    <col min="14598" max="14598" width="11.28515625" style="223" customWidth="1"/>
    <col min="14599" max="14601" width="9.140625" style="223"/>
    <col min="14602" max="14602" width="24.7109375" style="223" customWidth="1"/>
    <col min="14603" max="14603" width="0" style="223" hidden="1" customWidth="1"/>
    <col min="14604" max="14604" width="11.85546875" style="223" customWidth="1"/>
    <col min="14605" max="14605" width="12" style="223" customWidth="1"/>
    <col min="14606" max="14606" width="10.5703125" style="223" customWidth="1"/>
    <col min="14607" max="14607" width="10.85546875" style="223" customWidth="1"/>
    <col min="14608" max="14608" width="12" style="223" customWidth="1"/>
    <col min="14609" max="14609" width="8.28515625" style="223" customWidth="1"/>
    <col min="14610" max="14610" width="9.28515625" style="223" customWidth="1"/>
    <col min="14611" max="14611" width="11.28515625" style="223" customWidth="1"/>
    <col min="14612" max="14612" width="10.28515625" style="223" customWidth="1"/>
    <col min="14613" max="14848" width="9.140625" style="223"/>
    <col min="14849" max="14849" width="30.140625" style="223" customWidth="1"/>
    <col min="14850" max="14850" width="11.7109375" style="223" customWidth="1"/>
    <col min="14851" max="14851" width="11.140625" style="223" customWidth="1"/>
    <col min="14852" max="14852" width="10.42578125" style="223" customWidth="1"/>
    <col min="14853" max="14853" width="10" style="223" customWidth="1"/>
    <col min="14854" max="14854" width="11.28515625" style="223" customWidth="1"/>
    <col min="14855" max="14857" width="9.140625" style="223"/>
    <col min="14858" max="14858" width="24.7109375" style="223" customWidth="1"/>
    <col min="14859" max="14859" width="0" style="223" hidden="1" customWidth="1"/>
    <col min="14860" max="14860" width="11.85546875" style="223" customWidth="1"/>
    <col min="14861" max="14861" width="12" style="223" customWidth="1"/>
    <col min="14862" max="14862" width="10.5703125" style="223" customWidth="1"/>
    <col min="14863" max="14863" width="10.85546875" style="223" customWidth="1"/>
    <col min="14864" max="14864" width="12" style="223" customWidth="1"/>
    <col min="14865" max="14865" width="8.28515625" style="223" customWidth="1"/>
    <col min="14866" max="14866" width="9.28515625" style="223" customWidth="1"/>
    <col min="14867" max="14867" width="11.28515625" style="223" customWidth="1"/>
    <col min="14868" max="14868" width="10.28515625" style="223" customWidth="1"/>
    <col min="14869" max="15104" width="9.140625" style="223"/>
    <col min="15105" max="15105" width="30.140625" style="223" customWidth="1"/>
    <col min="15106" max="15106" width="11.7109375" style="223" customWidth="1"/>
    <col min="15107" max="15107" width="11.140625" style="223" customWidth="1"/>
    <col min="15108" max="15108" width="10.42578125" style="223" customWidth="1"/>
    <col min="15109" max="15109" width="10" style="223" customWidth="1"/>
    <col min="15110" max="15110" width="11.28515625" style="223" customWidth="1"/>
    <col min="15111" max="15113" width="9.140625" style="223"/>
    <col min="15114" max="15114" width="24.7109375" style="223" customWidth="1"/>
    <col min="15115" max="15115" width="0" style="223" hidden="1" customWidth="1"/>
    <col min="15116" max="15116" width="11.85546875" style="223" customWidth="1"/>
    <col min="15117" max="15117" width="12" style="223" customWidth="1"/>
    <col min="15118" max="15118" width="10.5703125" style="223" customWidth="1"/>
    <col min="15119" max="15119" width="10.85546875" style="223" customWidth="1"/>
    <col min="15120" max="15120" width="12" style="223" customWidth="1"/>
    <col min="15121" max="15121" width="8.28515625" style="223" customWidth="1"/>
    <col min="15122" max="15122" width="9.28515625" style="223" customWidth="1"/>
    <col min="15123" max="15123" width="11.28515625" style="223" customWidth="1"/>
    <col min="15124" max="15124" width="10.28515625" style="223" customWidth="1"/>
    <col min="15125" max="15360" width="9.140625" style="223"/>
    <col min="15361" max="15361" width="30.140625" style="223" customWidth="1"/>
    <col min="15362" max="15362" width="11.7109375" style="223" customWidth="1"/>
    <col min="15363" max="15363" width="11.140625" style="223" customWidth="1"/>
    <col min="15364" max="15364" width="10.42578125" style="223" customWidth="1"/>
    <col min="15365" max="15365" width="10" style="223" customWidth="1"/>
    <col min="15366" max="15366" width="11.28515625" style="223" customWidth="1"/>
    <col min="15367" max="15369" width="9.140625" style="223"/>
    <col min="15370" max="15370" width="24.7109375" style="223" customWidth="1"/>
    <col min="15371" max="15371" width="0" style="223" hidden="1" customWidth="1"/>
    <col min="15372" max="15372" width="11.85546875" style="223" customWidth="1"/>
    <col min="15373" max="15373" width="12" style="223" customWidth="1"/>
    <col min="15374" max="15374" width="10.5703125" style="223" customWidth="1"/>
    <col min="15375" max="15375" width="10.85546875" style="223" customWidth="1"/>
    <col min="15376" max="15376" width="12" style="223" customWidth="1"/>
    <col min="15377" max="15377" width="8.28515625" style="223" customWidth="1"/>
    <col min="15378" max="15378" width="9.28515625" style="223" customWidth="1"/>
    <col min="15379" max="15379" width="11.28515625" style="223" customWidth="1"/>
    <col min="15380" max="15380" width="10.28515625" style="223" customWidth="1"/>
    <col min="15381" max="15616" width="9.140625" style="223"/>
    <col min="15617" max="15617" width="30.140625" style="223" customWidth="1"/>
    <col min="15618" max="15618" width="11.7109375" style="223" customWidth="1"/>
    <col min="15619" max="15619" width="11.140625" style="223" customWidth="1"/>
    <col min="15620" max="15620" width="10.42578125" style="223" customWidth="1"/>
    <col min="15621" max="15621" width="10" style="223" customWidth="1"/>
    <col min="15622" max="15622" width="11.28515625" style="223" customWidth="1"/>
    <col min="15623" max="15625" width="9.140625" style="223"/>
    <col min="15626" max="15626" width="24.7109375" style="223" customWidth="1"/>
    <col min="15627" max="15627" width="0" style="223" hidden="1" customWidth="1"/>
    <col min="15628" max="15628" width="11.85546875" style="223" customWidth="1"/>
    <col min="15629" max="15629" width="12" style="223" customWidth="1"/>
    <col min="15630" max="15630" width="10.5703125" style="223" customWidth="1"/>
    <col min="15631" max="15631" width="10.85546875" style="223" customWidth="1"/>
    <col min="15632" max="15632" width="12" style="223" customWidth="1"/>
    <col min="15633" max="15633" width="8.28515625" style="223" customWidth="1"/>
    <col min="15634" max="15634" width="9.28515625" style="223" customWidth="1"/>
    <col min="15635" max="15635" width="11.28515625" style="223" customWidth="1"/>
    <col min="15636" max="15636" width="10.28515625" style="223" customWidth="1"/>
    <col min="15637" max="15872" width="9.140625" style="223"/>
    <col min="15873" max="15873" width="30.140625" style="223" customWidth="1"/>
    <col min="15874" max="15874" width="11.7109375" style="223" customWidth="1"/>
    <col min="15875" max="15875" width="11.140625" style="223" customWidth="1"/>
    <col min="15876" max="15876" width="10.42578125" style="223" customWidth="1"/>
    <col min="15877" max="15877" width="10" style="223" customWidth="1"/>
    <col min="15878" max="15878" width="11.28515625" style="223" customWidth="1"/>
    <col min="15879" max="15881" width="9.140625" style="223"/>
    <col min="15882" max="15882" width="24.7109375" style="223" customWidth="1"/>
    <col min="15883" max="15883" width="0" style="223" hidden="1" customWidth="1"/>
    <col min="15884" max="15884" width="11.85546875" style="223" customWidth="1"/>
    <col min="15885" max="15885" width="12" style="223" customWidth="1"/>
    <col min="15886" max="15886" width="10.5703125" style="223" customWidth="1"/>
    <col min="15887" max="15887" width="10.85546875" style="223" customWidth="1"/>
    <col min="15888" max="15888" width="12" style="223" customWidth="1"/>
    <col min="15889" max="15889" width="8.28515625" style="223" customWidth="1"/>
    <col min="15890" max="15890" width="9.28515625" style="223" customWidth="1"/>
    <col min="15891" max="15891" width="11.28515625" style="223" customWidth="1"/>
    <col min="15892" max="15892" width="10.28515625" style="223" customWidth="1"/>
    <col min="15893" max="16128" width="9.140625" style="223"/>
    <col min="16129" max="16129" width="30.140625" style="223" customWidth="1"/>
    <col min="16130" max="16130" width="11.7109375" style="223" customWidth="1"/>
    <col min="16131" max="16131" width="11.140625" style="223" customWidth="1"/>
    <col min="16132" max="16132" width="10.42578125" style="223" customWidth="1"/>
    <col min="16133" max="16133" width="10" style="223" customWidth="1"/>
    <col min="16134" max="16134" width="11.28515625" style="223" customWidth="1"/>
    <col min="16135" max="16137" width="9.140625" style="223"/>
    <col min="16138" max="16138" width="24.7109375" style="223" customWidth="1"/>
    <col min="16139" max="16139" width="0" style="223" hidden="1" customWidth="1"/>
    <col min="16140" max="16140" width="11.85546875" style="223" customWidth="1"/>
    <col min="16141" max="16141" width="12" style="223" customWidth="1"/>
    <col min="16142" max="16142" width="10.5703125" style="223" customWidth="1"/>
    <col min="16143" max="16143" width="10.85546875" style="223" customWidth="1"/>
    <col min="16144" max="16144" width="12" style="223" customWidth="1"/>
    <col min="16145" max="16145" width="8.28515625" style="223" customWidth="1"/>
    <col min="16146" max="16146" width="9.28515625" style="223" customWidth="1"/>
    <col min="16147" max="16147" width="11.28515625" style="223" customWidth="1"/>
    <col min="16148" max="16148" width="10.28515625" style="223" customWidth="1"/>
    <col min="16149" max="16384" width="9.140625" style="223"/>
  </cols>
  <sheetData>
    <row r="1" spans="1:23" ht="21" x14ac:dyDescent="0.3">
      <c r="A1" s="609" t="s">
        <v>508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</row>
    <row r="2" spans="1:23" x14ac:dyDescent="0.3">
      <c r="A2" s="224" t="s">
        <v>535</v>
      </c>
      <c r="K2" s="224"/>
    </row>
    <row r="3" spans="1:23" x14ac:dyDescent="0.3">
      <c r="V3" s="229" t="s">
        <v>240</v>
      </c>
    </row>
    <row r="4" spans="1:23" s="224" customFormat="1" x14ac:dyDescent="0.3">
      <c r="A4" s="610" t="s">
        <v>262</v>
      </c>
      <c r="B4" s="610"/>
      <c r="C4" s="610"/>
      <c r="D4" s="610"/>
      <c r="E4" s="610"/>
      <c r="F4" s="610"/>
      <c r="G4" s="610"/>
      <c r="H4" s="610"/>
      <c r="I4" s="610"/>
      <c r="J4" s="610"/>
      <c r="K4" s="611" t="s">
        <v>339</v>
      </c>
      <c r="L4" s="612"/>
      <c r="M4" s="612"/>
      <c r="N4" s="612"/>
      <c r="O4" s="612"/>
      <c r="P4" s="612"/>
      <c r="Q4" s="612"/>
      <c r="R4" s="612"/>
      <c r="S4" s="613"/>
      <c r="T4" s="610" t="s">
        <v>263</v>
      </c>
      <c r="U4" s="610"/>
      <c r="V4" s="610"/>
    </row>
    <row r="5" spans="1:23" ht="58.5" x14ac:dyDescent="0.35">
      <c r="A5" s="230" t="s">
        <v>245</v>
      </c>
      <c r="B5" s="234" t="s">
        <v>180</v>
      </c>
      <c r="C5" s="231" t="s">
        <v>264</v>
      </c>
      <c r="D5" s="231" t="s">
        <v>265</v>
      </c>
      <c r="E5" s="231" t="s">
        <v>0</v>
      </c>
      <c r="F5" s="231" t="s">
        <v>177</v>
      </c>
      <c r="G5" s="231" t="s">
        <v>178</v>
      </c>
      <c r="H5" s="232" t="s">
        <v>181</v>
      </c>
      <c r="I5" s="233" t="s">
        <v>182</v>
      </c>
      <c r="J5" s="231" t="s">
        <v>183</v>
      </c>
      <c r="K5" s="230" t="s">
        <v>245</v>
      </c>
      <c r="L5" s="231" t="s">
        <v>264</v>
      </c>
      <c r="M5" s="231" t="s">
        <v>265</v>
      </c>
      <c r="N5" s="231" t="s">
        <v>0</v>
      </c>
      <c r="O5" s="231" t="s">
        <v>177</v>
      </c>
      <c r="P5" s="231" t="s">
        <v>178</v>
      </c>
      <c r="Q5" s="232" t="s">
        <v>181</v>
      </c>
      <c r="R5" s="233" t="s">
        <v>182</v>
      </c>
      <c r="S5" s="231" t="s">
        <v>183</v>
      </c>
      <c r="T5" s="235" t="s">
        <v>536</v>
      </c>
      <c r="U5" s="235" t="s">
        <v>537</v>
      </c>
      <c r="V5" s="235" t="s">
        <v>538</v>
      </c>
    </row>
    <row r="6" spans="1:23" ht="39" x14ac:dyDescent="0.3">
      <c r="A6" s="243" t="s">
        <v>539</v>
      </c>
      <c r="B6" s="244">
        <f>'[1]ตาราง 4'!B12+'[1]ตาราง 4'!B13+'[1]ตาราง 4'!B14</f>
        <v>189588469.46000001</v>
      </c>
      <c r="C6" s="237">
        <f>335220041.38+189588469.46</f>
        <v>524808510.84000003</v>
      </c>
      <c r="D6" s="237">
        <v>23476298.829999998</v>
      </c>
      <c r="E6" s="237">
        <v>13368121.4</v>
      </c>
      <c r="F6" s="237">
        <v>27900103.690000001</v>
      </c>
      <c r="G6" s="239">
        <f t="shared" ref="G6:G12" si="0">SUM(C6:F6)</f>
        <v>589553034.76000011</v>
      </c>
      <c r="H6" s="240">
        <v>261112</v>
      </c>
      <c r="I6" s="241" t="s">
        <v>500</v>
      </c>
      <c r="J6" s="242">
        <f t="shared" ref="J6:J12" si="1">SUM(G6/H6)</f>
        <v>2257.8550000000005</v>
      </c>
      <c r="K6" s="243" t="s">
        <v>539</v>
      </c>
      <c r="L6" s="237">
        <v>501288054.03084874</v>
      </c>
      <c r="M6" s="237">
        <v>50108382.37246073</v>
      </c>
      <c r="N6" s="237">
        <v>179488163.01412272</v>
      </c>
      <c r="O6" s="237">
        <v>24158758.775633987</v>
      </c>
      <c r="P6" s="239">
        <f t="shared" ref="P6:P13" si="2">SUM(L6:O6)</f>
        <v>755043358.19306612</v>
      </c>
      <c r="Q6" s="240">
        <v>331941</v>
      </c>
      <c r="R6" s="241" t="s">
        <v>500</v>
      </c>
      <c r="S6" s="242">
        <f t="shared" ref="S6:S13" si="3">SUM(P6/Q6)</f>
        <v>2274.6312091397754</v>
      </c>
      <c r="T6" s="169">
        <f>SUM(P6-G6)*100/G6</f>
        <v>28.070472659077247</v>
      </c>
      <c r="U6" s="169">
        <f>SUM(Q6-H6)*100/H6</f>
        <v>27.125907656484575</v>
      </c>
      <c r="V6" s="392">
        <f>SUM(S6-J6)*100/J6</f>
        <v>0.74301534597106056</v>
      </c>
    </row>
    <row r="7" spans="1:23" ht="39" x14ac:dyDescent="0.3">
      <c r="A7" s="236" t="s">
        <v>541</v>
      </c>
      <c r="B7" s="244"/>
      <c r="C7" s="237">
        <v>106145536.98</v>
      </c>
      <c r="D7" s="238">
        <v>956025.66</v>
      </c>
      <c r="E7" s="237">
        <v>1075893.22</v>
      </c>
      <c r="F7" s="237">
        <v>3109743.56</v>
      </c>
      <c r="G7" s="239">
        <f t="shared" si="0"/>
        <v>111287199.42</v>
      </c>
      <c r="H7" s="240">
        <v>30</v>
      </c>
      <c r="I7" s="241" t="s">
        <v>222</v>
      </c>
      <c r="J7" s="246">
        <f t="shared" si="1"/>
        <v>3709573.3140000002</v>
      </c>
      <c r="K7" s="236" t="s">
        <v>540</v>
      </c>
      <c r="L7" s="237">
        <v>142574281.21277112</v>
      </c>
      <c r="M7" s="238">
        <v>5585730.4590612147</v>
      </c>
      <c r="N7" s="237">
        <v>40025123.377209917</v>
      </c>
      <c r="O7" s="237">
        <v>7149706.9768945724</v>
      </c>
      <c r="P7" s="239">
        <f t="shared" si="2"/>
        <v>195334842.02593678</v>
      </c>
      <c r="Q7" s="240">
        <v>28</v>
      </c>
      <c r="R7" s="241" t="s">
        <v>222</v>
      </c>
      <c r="S7" s="246">
        <f t="shared" si="3"/>
        <v>6976244.3580691712</v>
      </c>
      <c r="T7" s="169">
        <f>SUM(P7-G7)*100/G7</f>
        <v>75.523189588713961</v>
      </c>
      <c r="U7" s="543">
        <f t="shared" ref="U7" si="4">SUM(Q7-H7)*100/H7</f>
        <v>-6.666666666666667</v>
      </c>
      <c r="V7" s="392">
        <f>SUM(S7-J7)*100/J7</f>
        <v>88.060560273622102</v>
      </c>
    </row>
    <row r="8" spans="1:23" ht="39" x14ac:dyDescent="0.3">
      <c r="A8" s="247" t="s">
        <v>542</v>
      </c>
      <c r="B8" s="244">
        <f>'[1]ตาราง 4'!B5+'[1]ตาราง 4'!B7</f>
        <v>1758550</v>
      </c>
      <c r="C8" s="237">
        <f>6544674.19+1758550</f>
        <v>8303224.1900000004</v>
      </c>
      <c r="D8" s="238">
        <f>201852.9220542+69644.6416659181+455825.095957731+125550.963270133</f>
        <v>852873.62294798216</v>
      </c>
      <c r="E8" s="237">
        <v>470375.54</v>
      </c>
      <c r="F8" s="237">
        <v>1667777.79</v>
      </c>
      <c r="G8" s="239">
        <f t="shared" si="0"/>
        <v>11294251.142947983</v>
      </c>
      <c r="H8" s="240">
        <v>4013183</v>
      </c>
      <c r="I8" s="241" t="s">
        <v>224</v>
      </c>
      <c r="J8" s="242">
        <f t="shared" si="1"/>
        <v>2.8142875973879047</v>
      </c>
      <c r="K8" s="247" t="s">
        <v>542</v>
      </c>
      <c r="L8" s="237">
        <v>96377378.79118596</v>
      </c>
      <c r="M8" s="238">
        <v>118297402.9206647</v>
      </c>
      <c r="N8" s="237">
        <v>50644486.343416616</v>
      </c>
      <c r="O8" s="237">
        <v>36910744.844759226</v>
      </c>
      <c r="P8" s="239">
        <f t="shared" si="2"/>
        <v>302230012.9000265</v>
      </c>
      <c r="Q8" s="240">
        <v>9625379</v>
      </c>
      <c r="R8" s="241" t="s">
        <v>224</v>
      </c>
      <c r="S8" s="242">
        <f t="shared" si="3"/>
        <v>31.399284422984955</v>
      </c>
      <c r="T8" s="169">
        <f t="shared" ref="T8:T11" si="5">SUM(P8-G8)*100/G8</f>
        <v>2575.9632761374878</v>
      </c>
      <c r="U8" s="393">
        <f>SUM(Q8-H8)*100/H8</f>
        <v>139.84400910698565</v>
      </c>
      <c r="V8" s="245">
        <f>SUM(S8-J8)*100/J8</f>
        <v>1015.7098674680002</v>
      </c>
    </row>
    <row r="9" spans="1:23" ht="58.5" x14ac:dyDescent="0.3">
      <c r="A9" s="247" t="s">
        <v>543</v>
      </c>
      <c r="B9" s="244">
        <f>'[1]ตาราง 4'!B8</f>
        <v>13500000</v>
      </c>
      <c r="C9" s="237">
        <f>92031834.71+13500000</f>
        <v>105531834.70999999</v>
      </c>
      <c r="D9" s="238">
        <v>22489339.329999998</v>
      </c>
      <c r="E9" s="237">
        <v>16729088.99</v>
      </c>
      <c r="F9" s="237">
        <v>32476081.690000001</v>
      </c>
      <c r="G9" s="239">
        <f t="shared" si="0"/>
        <v>177226344.72</v>
      </c>
      <c r="H9" s="79">
        <v>79113</v>
      </c>
      <c r="I9" s="80" t="s">
        <v>270</v>
      </c>
      <c r="J9" s="242">
        <f t="shared" si="1"/>
        <v>2240.1671624132568</v>
      </c>
      <c r="K9" s="247" t="s">
        <v>543</v>
      </c>
      <c r="L9" s="237">
        <v>15700138.110206138</v>
      </c>
      <c r="M9" s="238">
        <v>4272266.91938088</v>
      </c>
      <c r="N9" s="237">
        <v>4953678.3339554928</v>
      </c>
      <c r="O9" s="237">
        <v>1642800.0353159567</v>
      </c>
      <c r="P9" s="239">
        <f t="shared" si="2"/>
        <v>26568883.398858469</v>
      </c>
      <c r="Q9" s="79">
        <v>74758</v>
      </c>
      <c r="R9" s="385" t="s">
        <v>270</v>
      </c>
      <c r="S9" s="242">
        <f t="shared" si="3"/>
        <v>355.39853124559869</v>
      </c>
      <c r="T9" s="543">
        <f t="shared" si="5"/>
        <v>-85.008502296408224</v>
      </c>
      <c r="U9" s="543">
        <f>SUM(Q9-H9)*100/H9</f>
        <v>-5.5047842958805759</v>
      </c>
      <c r="V9" s="543">
        <f>SUM(S9-J9)*100/J9</f>
        <v>-84.135178070249921</v>
      </c>
    </row>
    <row r="10" spans="1:23" ht="39" x14ac:dyDescent="0.3">
      <c r="A10" s="236" t="s">
        <v>251</v>
      </c>
      <c r="B10" s="244">
        <f>'[1]ตาราง 4'!B9+'[1]ตาราง 4'!B10</f>
        <v>356785651.03000003</v>
      </c>
      <c r="C10" s="237">
        <f>35894266.89+356785651.03</f>
        <v>392679917.91999996</v>
      </c>
      <c r="D10" s="238">
        <v>1498976.22</v>
      </c>
      <c r="E10" s="237">
        <v>1137428.3600000001</v>
      </c>
      <c r="F10" s="237">
        <v>3083585.39</v>
      </c>
      <c r="G10" s="239">
        <f t="shared" si="0"/>
        <v>398399907.88999999</v>
      </c>
      <c r="H10" s="240">
        <v>216368</v>
      </c>
      <c r="I10" s="241" t="s">
        <v>224</v>
      </c>
      <c r="J10" s="242">
        <f t="shared" si="1"/>
        <v>1841.3069764937513</v>
      </c>
      <c r="K10" s="236" t="s">
        <v>251</v>
      </c>
      <c r="L10" s="237">
        <v>344439538.07367605</v>
      </c>
      <c r="M10" s="238">
        <v>8647701.539509112</v>
      </c>
      <c r="N10" s="237">
        <v>1567923.8122744013</v>
      </c>
      <c r="O10" s="237">
        <v>2561397.009383196</v>
      </c>
      <c r="P10" s="239">
        <f t="shared" si="2"/>
        <v>357216560.43484277</v>
      </c>
      <c r="Q10" s="240">
        <v>208050</v>
      </c>
      <c r="R10" s="241" t="s">
        <v>224</v>
      </c>
      <c r="S10" s="242">
        <f t="shared" si="3"/>
        <v>1716.9745755099389</v>
      </c>
      <c r="T10" s="543">
        <f t="shared" si="5"/>
        <v>-10.337187996169952</v>
      </c>
      <c r="U10" s="543">
        <f>SUM(Q10-H10)*100/H10</f>
        <v>-3.8443762478739925</v>
      </c>
      <c r="V10" s="543">
        <f t="shared" ref="V10" si="6">SUM(S10-J10)*100/J10</f>
        <v>-6.7523993864710379</v>
      </c>
    </row>
    <row r="11" spans="1:23" ht="58.5" x14ac:dyDescent="0.3">
      <c r="A11" s="243" t="s">
        <v>252</v>
      </c>
      <c r="B11" s="244">
        <f>'[1]ตาราง 4'!B11</f>
        <v>6631900</v>
      </c>
      <c r="C11" s="237">
        <f>202836.08+6631900</f>
        <v>6834736.0800000001</v>
      </c>
      <c r="D11" s="238">
        <v>198459.34</v>
      </c>
      <c r="E11" s="237">
        <v>105564.81</v>
      </c>
      <c r="F11" s="237">
        <v>178740.44</v>
      </c>
      <c r="G11" s="239">
        <f t="shared" si="0"/>
        <v>7317500.6699999999</v>
      </c>
      <c r="H11" s="240">
        <v>153879</v>
      </c>
      <c r="I11" s="241" t="s">
        <v>224</v>
      </c>
      <c r="J11" s="242">
        <f t="shared" si="1"/>
        <v>47.553601661045363</v>
      </c>
      <c r="K11" s="243" t="s">
        <v>252</v>
      </c>
      <c r="L11" s="237">
        <v>2575760.7237989698</v>
      </c>
      <c r="M11" s="238">
        <v>839293.6710845154</v>
      </c>
      <c r="N11" s="237">
        <v>647831.90330799564</v>
      </c>
      <c r="O11" s="237">
        <v>368534.29464938422</v>
      </c>
      <c r="P11" s="239">
        <f t="shared" si="2"/>
        <v>4431420.5928408653</v>
      </c>
      <c r="Q11" s="240">
        <v>160628</v>
      </c>
      <c r="R11" s="241" t="s">
        <v>224</v>
      </c>
      <c r="S11" s="242">
        <f t="shared" si="3"/>
        <v>27.58809543068995</v>
      </c>
      <c r="T11" s="543">
        <f t="shared" si="5"/>
        <v>-39.440790063626118</v>
      </c>
      <c r="U11" s="393">
        <f>SUM(Q11-H11)*100/H11</f>
        <v>4.3859136074448104</v>
      </c>
      <c r="V11" s="543">
        <f>SUM(S11-J11)*100/J11</f>
        <v>-41.985266169041033</v>
      </c>
      <c r="W11" s="227"/>
    </row>
    <row r="12" spans="1:23" s="224" customFormat="1" ht="39" x14ac:dyDescent="0.35">
      <c r="A12" s="247" t="s">
        <v>544</v>
      </c>
      <c r="B12" s="244">
        <f>'[1]ตาราง 4'!B16</f>
        <v>199249091.40000001</v>
      </c>
      <c r="C12" s="237">
        <f>984005913.93+199249091.4</f>
        <v>1183255005.3299999</v>
      </c>
      <c r="D12" s="238">
        <v>175551269.21333501</v>
      </c>
      <c r="E12" s="237">
        <v>33989326.770000003</v>
      </c>
      <c r="F12" s="237">
        <v>178568172.65000001</v>
      </c>
      <c r="G12" s="239">
        <f t="shared" si="0"/>
        <v>1571363773.963335</v>
      </c>
      <c r="H12" s="240">
        <v>118056</v>
      </c>
      <c r="I12" s="241" t="s">
        <v>222</v>
      </c>
      <c r="J12" s="242">
        <f t="shared" si="1"/>
        <v>13310.325387640907</v>
      </c>
      <c r="K12" s="247" t="s">
        <v>544</v>
      </c>
      <c r="L12" s="237">
        <v>605567938.53037071</v>
      </c>
      <c r="M12" s="238">
        <v>122542441.51804931</v>
      </c>
      <c r="N12" s="237">
        <v>29445057.510660887</v>
      </c>
      <c r="O12" s="237">
        <v>85922134.844507068</v>
      </c>
      <c r="P12" s="239">
        <f t="shared" si="2"/>
        <v>843477572.40358806</v>
      </c>
      <c r="Q12" s="240">
        <v>12</v>
      </c>
      <c r="R12" s="241" t="s">
        <v>331</v>
      </c>
      <c r="S12" s="242">
        <f t="shared" si="3"/>
        <v>70289797.70029901</v>
      </c>
      <c r="T12" s="543"/>
      <c r="U12" s="393"/>
      <c r="V12" s="245"/>
      <c r="W12" s="400" t="s">
        <v>573</v>
      </c>
    </row>
    <row r="13" spans="1:23" s="224" customFormat="1" ht="58.5" x14ac:dyDescent="0.35">
      <c r="A13" s="264"/>
      <c r="B13" s="265"/>
      <c r="C13" s="266"/>
      <c r="D13" s="262"/>
      <c r="E13" s="266"/>
      <c r="F13" s="266"/>
      <c r="G13" s="267"/>
      <c r="H13" s="260"/>
      <c r="I13" s="261"/>
      <c r="J13" s="263"/>
      <c r="K13" s="264" t="s">
        <v>545</v>
      </c>
      <c r="L13" s="266">
        <v>514556898.34714127</v>
      </c>
      <c r="M13" s="262">
        <v>11115173.029789535</v>
      </c>
      <c r="N13" s="266">
        <v>4123805.4050518931</v>
      </c>
      <c r="O13" s="266">
        <v>26126595.058856316</v>
      </c>
      <c r="P13" s="267">
        <f t="shared" si="2"/>
        <v>555922471.84083903</v>
      </c>
      <c r="Q13" s="260">
        <v>1309</v>
      </c>
      <c r="R13" s="261" t="s">
        <v>224</v>
      </c>
      <c r="S13" s="242">
        <f t="shared" si="3"/>
        <v>424692.49185701989</v>
      </c>
      <c r="T13" s="192"/>
      <c r="U13" s="191"/>
      <c r="V13" s="248"/>
      <c r="W13" s="400" t="s">
        <v>573</v>
      </c>
    </row>
    <row r="14" spans="1:23" s="224" customFormat="1" x14ac:dyDescent="0.3">
      <c r="A14" s="268"/>
      <c r="B14" s="269"/>
      <c r="C14" s="270">
        <f>SUM(C12:C13)</f>
        <v>1183255005.3299999</v>
      </c>
      <c r="D14" s="270">
        <f t="shared" ref="D14:G14" si="7">SUM(D12:D13)</f>
        <v>175551269.21333501</v>
      </c>
      <c r="E14" s="270">
        <f t="shared" si="7"/>
        <v>33989326.770000003</v>
      </c>
      <c r="F14" s="270">
        <f t="shared" si="7"/>
        <v>178568172.65000001</v>
      </c>
      <c r="G14" s="270">
        <f t="shared" si="7"/>
        <v>1571363773.963335</v>
      </c>
      <c r="H14" s="270"/>
      <c r="I14" s="272"/>
      <c r="J14" s="273"/>
      <c r="K14" s="268"/>
      <c r="L14" s="270">
        <f>SUM(L12:L13)</f>
        <v>1120124836.877512</v>
      </c>
      <c r="M14" s="270">
        <f>SUM(M12:M13)</f>
        <v>133657614.54783885</v>
      </c>
      <c r="N14" s="270">
        <f>SUM(N12:N13)</f>
        <v>33568862.915712781</v>
      </c>
      <c r="O14" s="270">
        <f>SUM(O12:O13)</f>
        <v>112048729.90336338</v>
      </c>
      <c r="P14" s="270">
        <f>SUM(P12:P13)</f>
        <v>1399400044.2444272</v>
      </c>
      <c r="Q14" s="271"/>
      <c r="R14" s="272"/>
      <c r="S14" s="273"/>
      <c r="T14" s="274"/>
      <c r="U14" s="215"/>
      <c r="V14" s="275"/>
      <c r="W14" s="249"/>
    </row>
    <row r="15" spans="1:23" ht="20.25" thickBot="1" x14ac:dyDescent="0.35">
      <c r="A15" s="250" t="s">
        <v>178</v>
      </c>
      <c r="B15" s="251">
        <f>SUM(B8:B11)</f>
        <v>378676101.03000003</v>
      </c>
      <c r="C15" s="252">
        <f>SUM(C6+C7+C8+C9+C10+C11+C14)</f>
        <v>2327558766.0500002</v>
      </c>
      <c r="D15" s="252">
        <f t="shared" ref="D15:G15" si="8">SUM(D6+D7+D8+D9+D10+D11+D14)</f>
        <v>225023242.21628299</v>
      </c>
      <c r="E15" s="252">
        <f t="shared" si="8"/>
        <v>66875799.090000004</v>
      </c>
      <c r="F15" s="252">
        <f t="shared" si="8"/>
        <v>246984205.21000001</v>
      </c>
      <c r="G15" s="252">
        <f t="shared" si="8"/>
        <v>2866442012.5662832</v>
      </c>
      <c r="H15" s="253"/>
      <c r="I15" s="254"/>
      <c r="J15" s="255"/>
      <c r="K15" s="250" t="s">
        <v>178</v>
      </c>
      <c r="L15" s="252">
        <f>SUM(L6+L7+L8+L9+L10+L11+L14)</f>
        <v>2223079987.8199987</v>
      </c>
      <c r="M15" s="252">
        <f t="shared" ref="M15:O15" si="9">SUM(M6+M7+M8+M9+M10+M11+M14)</f>
        <v>321408392.43000001</v>
      </c>
      <c r="N15" s="252">
        <f t="shared" si="9"/>
        <v>310896069.69999987</v>
      </c>
      <c r="O15" s="252">
        <f t="shared" si="9"/>
        <v>184840671.83999971</v>
      </c>
      <c r="P15" s="252">
        <f>SUM(P6+P7+P8+P9+P10+P11+P14)</f>
        <v>3040225121.789999</v>
      </c>
      <c r="Q15" s="253"/>
      <c r="R15" s="254"/>
      <c r="S15" s="255"/>
      <c r="T15" s="256"/>
      <c r="U15" s="256"/>
      <c r="V15" s="256"/>
      <c r="W15" s="257"/>
    </row>
    <row r="16" spans="1:23" ht="20.25" thickTop="1" x14ac:dyDescent="0.3"/>
    <row r="17" spans="1:11" ht="21" x14ac:dyDescent="0.35">
      <c r="A17" s="258"/>
      <c r="B17" s="259"/>
      <c r="K17" s="258"/>
    </row>
  </sheetData>
  <mergeCells count="4">
    <mergeCell ref="A1:V1"/>
    <mergeCell ref="A4:J4"/>
    <mergeCell ref="T4:V4"/>
    <mergeCell ref="K4:S4"/>
  </mergeCells>
  <pageMargins left="0.11811023622047245" right="0" top="0.35433070866141736" bottom="0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C7"/>
  <sheetViews>
    <sheetView view="pageBreakPreview" zoomScale="90" zoomScaleNormal="100" zoomScaleSheetLayoutView="90" workbookViewId="0">
      <selection activeCell="C4" sqref="C4"/>
    </sheetView>
  </sheetViews>
  <sheetFormatPr defaultRowHeight="18.75" x14ac:dyDescent="0.3"/>
  <cols>
    <col min="1" max="1" width="51.7109375" style="414" customWidth="1"/>
    <col min="2" max="2" width="7" style="415" customWidth="1"/>
    <col min="3" max="3" width="145.5703125" style="414" customWidth="1"/>
  </cols>
  <sheetData>
    <row r="1" spans="1:3" x14ac:dyDescent="0.3">
      <c r="A1" s="614" t="s">
        <v>679</v>
      </c>
      <c r="B1" s="614"/>
      <c r="C1" s="614"/>
    </row>
    <row r="2" spans="1:3" ht="21" x14ac:dyDescent="0.35">
      <c r="A2" s="84" t="s">
        <v>643</v>
      </c>
      <c r="B2" s="402"/>
      <c r="C2" s="403"/>
    </row>
    <row r="3" spans="1:3" ht="21" x14ac:dyDescent="0.35">
      <c r="A3" s="542" t="s">
        <v>245</v>
      </c>
      <c r="B3" s="607" t="s">
        <v>579</v>
      </c>
      <c r="C3" s="608"/>
    </row>
    <row r="4" spans="1:3" ht="105.75" customHeight="1" x14ac:dyDescent="0.2">
      <c r="A4" s="416" t="s">
        <v>235</v>
      </c>
      <c r="B4" s="409" t="s">
        <v>579</v>
      </c>
      <c r="C4" s="422" t="s">
        <v>603</v>
      </c>
    </row>
    <row r="5" spans="1:3" ht="102.75" customHeight="1" x14ac:dyDescent="0.2">
      <c r="A5" s="417" t="s">
        <v>589</v>
      </c>
      <c r="B5" s="409" t="s">
        <v>579</v>
      </c>
      <c r="C5" s="421" t="s">
        <v>604</v>
      </c>
    </row>
    <row r="6" spans="1:3" ht="93.75" x14ac:dyDescent="0.2">
      <c r="A6" s="417" t="s">
        <v>590</v>
      </c>
      <c r="B6" s="409" t="s">
        <v>579</v>
      </c>
      <c r="C6" s="422" t="s">
        <v>605</v>
      </c>
    </row>
    <row r="7" spans="1:3" s="430" customFormat="1" ht="78.75" customHeight="1" x14ac:dyDescent="0.2">
      <c r="A7" s="411" t="s">
        <v>641</v>
      </c>
      <c r="B7" s="413" t="s">
        <v>579</v>
      </c>
      <c r="C7" s="319" t="s">
        <v>642</v>
      </c>
    </row>
  </sheetData>
  <mergeCells count="2">
    <mergeCell ref="A1:C1"/>
    <mergeCell ref="B3:C3"/>
  </mergeCells>
  <printOptions horizontalCentered="1"/>
  <pageMargins left="0.31496062992125984" right="0.19685039370078741" top="0.74803149606299213" bottom="0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"/>
  <sheetViews>
    <sheetView view="pageBreakPreview" zoomScaleNormal="89" zoomScaleSheetLayoutView="100" workbookViewId="0">
      <selection activeCell="A2" sqref="A2"/>
    </sheetView>
  </sheetViews>
  <sheetFormatPr defaultColWidth="9" defaultRowHeight="21" x14ac:dyDescent="0.35"/>
  <cols>
    <col min="1" max="1" width="21.140625" style="84" customWidth="1"/>
    <col min="2" max="2" width="21.5703125" style="84" hidden="1" customWidth="1"/>
    <col min="3" max="3" width="16.28515625" style="84" customWidth="1"/>
    <col min="4" max="4" width="14.85546875" style="83" customWidth="1"/>
    <col min="5" max="5" width="14.5703125" style="83" customWidth="1"/>
    <col min="6" max="6" width="16.140625" style="83" customWidth="1"/>
    <col min="7" max="7" width="17.85546875" style="83" customWidth="1"/>
    <col min="8" max="8" width="8.85546875" style="83" customWidth="1"/>
    <col min="9" max="9" width="6" style="84" customWidth="1"/>
    <col min="10" max="10" width="8.85546875" style="84" customWidth="1"/>
    <col min="11" max="11" width="21.140625" style="84" customWidth="1"/>
    <col min="12" max="12" width="21.5703125" style="84" hidden="1" customWidth="1"/>
    <col min="13" max="13" width="16.28515625" style="84" customWidth="1"/>
    <col min="14" max="14" width="14.85546875" style="83" customWidth="1"/>
    <col min="15" max="15" width="14.5703125" style="83" customWidth="1"/>
    <col min="16" max="16" width="16.140625" style="83" customWidth="1"/>
    <col min="17" max="17" width="17.85546875" style="83" customWidth="1"/>
    <col min="18" max="18" width="8.85546875" style="83" customWidth="1"/>
    <col min="19" max="19" width="6" style="84" customWidth="1"/>
    <col min="20" max="20" width="11.42578125" style="84" customWidth="1"/>
    <col min="21" max="21" width="12.5703125" style="84" bestFit="1" customWidth="1"/>
    <col min="22" max="22" width="10.85546875" style="84" bestFit="1" customWidth="1"/>
    <col min="23" max="23" width="12.42578125" style="84" bestFit="1" customWidth="1"/>
    <col min="24" max="24" width="9" style="85"/>
    <col min="25" max="257" width="9" style="84"/>
    <col min="258" max="258" width="17.5703125" style="84" customWidth="1"/>
    <col min="259" max="259" width="10.28515625" style="84" customWidth="1"/>
    <col min="260" max="260" width="10.42578125" style="84" customWidth="1"/>
    <col min="261" max="261" width="10.140625" style="84" customWidth="1"/>
    <col min="262" max="262" width="9.5703125" style="84" customWidth="1"/>
    <col min="263" max="263" width="10.28515625" style="84" customWidth="1"/>
    <col min="264" max="266" width="9" style="84"/>
    <col min="267" max="267" width="21.140625" style="84" customWidth="1"/>
    <col min="268" max="268" width="0" style="84" hidden="1" customWidth="1"/>
    <col min="269" max="269" width="16.28515625" style="84" customWidth="1"/>
    <col min="270" max="270" width="14.85546875" style="84" customWidth="1"/>
    <col min="271" max="271" width="14.5703125" style="84" customWidth="1"/>
    <col min="272" max="272" width="16.140625" style="84" customWidth="1"/>
    <col min="273" max="273" width="17.85546875" style="84" customWidth="1"/>
    <col min="274" max="274" width="8.85546875" style="84" customWidth="1"/>
    <col min="275" max="275" width="6" style="84" customWidth="1"/>
    <col min="276" max="276" width="8.85546875" style="84" customWidth="1"/>
    <col min="277" max="277" width="9" style="84"/>
    <col min="278" max="278" width="10.5703125" style="84" bestFit="1" customWidth="1"/>
    <col min="279" max="513" width="9" style="84"/>
    <col min="514" max="514" width="17.5703125" style="84" customWidth="1"/>
    <col min="515" max="515" width="10.28515625" style="84" customWidth="1"/>
    <col min="516" max="516" width="10.42578125" style="84" customWidth="1"/>
    <col min="517" max="517" width="10.140625" style="84" customWidth="1"/>
    <col min="518" max="518" width="9.5703125" style="84" customWidth="1"/>
    <col min="519" max="519" width="10.28515625" style="84" customWidth="1"/>
    <col min="520" max="522" width="9" style="84"/>
    <col min="523" max="523" width="21.140625" style="84" customWidth="1"/>
    <col min="524" max="524" width="0" style="84" hidden="1" customWidth="1"/>
    <col min="525" max="525" width="16.28515625" style="84" customWidth="1"/>
    <col min="526" max="526" width="14.85546875" style="84" customWidth="1"/>
    <col min="527" max="527" width="14.5703125" style="84" customWidth="1"/>
    <col min="528" max="528" width="16.140625" style="84" customWidth="1"/>
    <col min="529" max="529" width="17.85546875" style="84" customWidth="1"/>
    <col min="530" max="530" width="8.85546875" style="84" customWidth="1"/>
    <col min="531" max="531" width="6" style="84" customWidth="1"/>
    <col min="532" max="532" width="8.85546875" style="84" customWidth="1"/>
    <col min="533" max="533" width="9" style="84"/>
    <col min="534" max="534" width="10.5703125" style="84" bestFit="1" customWidth="1"/>
    <col min="535" max="769" width="9" style="84"/>
    <col min="770" max="770" width="17.5703125" style="84" customWidth="1"/>
    <col min="771" max="771" width="10.28515625" style="84" customWidth="1"/>
    <col min="772" max="772" width="10.42578125" style="84" customWidth="1"/>
    <col min="773" max="773" width="10.140625" style="84" customWidth="1"/>
    <col min="774" max="774" width="9.5703125" style="84" customWidth="1"/>
    <col min="775" max="775" width="10.28515625" style="84" customWidth="1"/>
    <col min="776" max="778" width="9" style="84"/>
    <col min="779" max="779" width="21.140625" style="84" customWidth="1"/>
    <col min="780" max="780" width="0" style="84" hidden="1" customWidth="1"/>
    <col min="781" max="781" width="16.28515625" style="84" customWidth="1"/>
    <col min="782" max="782" width="14.85546875" style="84" customWidth="1"/>
    <col min="783" max="783" width="14.5703125" style="84" customWidth="1"/>
    <col min="784" max="784" width="16.140625" style="84" customWidth="1"/>
    <col min="785" max="785" width="17.85546875" style="84" customWidth="1"/>
    <col min="786" max="786" width="8.85546875" style="84" customWidth="1"/>
    <col min="787" max="787" width="6" style="84" customWidth="1"/>
    <col min="788" max="788" width="8.85546875" style="84" customWidth="1"/>
    <col min="789" max="789" width="9" style="84"/>
    <col min="790" max="790" width="10.5703125" style="84" bestFit="1" customWidth="1"/>
    <col min="791" max="1025" width="9" style="84"/>
    <col min="1026" max="1026" width="17.5703125" style="84" customWidth="1"/>
    <col min="1027" max="1027" width="10.28515625" style="84" customWidth="1"/>
    <col min="1028" max="1028" width="10.42578125" style="84" customWidth="1"/>
    <col min="1029" max="1029" width="10.140625" style="84" customWidth="1"/>
    <col min="1030" max="1030" width="9.5703125" style="84" customWidth="1"/>
    <col min="1031" max="1031" width="10.28515625" style="84" customWidth="1"/>
    <col min="1032" max="1034" width="9" style="84"/>
    <col min="1035" max="1035" width="21.140625" style="84" customWidth="1"/>
    <col min="1036" max="1036" width="0" style="84" hidden="1" customWidth="1"/>
    <col min="1037" max="1037" width="16.28515625" style="84" customWidth="1"/>
    <col min="1038" max="1038" width="14.85546875" style="84" customWidth="1"/>
    <col min="1039" max="1039" width="14.5703125" style="84" customWidth="1"/>
    <col min="1040" max="1040" width="16.140625" style="84" customWidth="1"/>
    <col min="1041" max="1041" width="17.85546875" style="84" customWidth="1"/>
    <col min="1042" max="1042" width="8.85546875" style="84" customWidth="1"/>
    <col min="1043" max="1043" width="6" style="84" customWidth="1"/>
    <col min="1044" max="1044" width="8.85546875" style="84" customWidth="1"/>
    <col min="1045" max="1045" width="9" style="84"/>
    <col min="1046" max="1046" width="10.5703125" style="84" bestFit="1" customWidth="1"/>
    <col min="1047" max="1281" width="9" style="84"/>
    <col min="1282" max="1282" width="17.5703125" style="84" customWidth="1"/>
    <col min="1283" max="1283" width="10.28515625" style="84" customWidth="1"/>
    <col min="1284" max="1284" width="10.42578125" style="84" customWidth="1"/>
    <col min="1285" max="1285" width="10.140625" style="84" customWidth="1"/>
    <col min="1286" max="1286" width="9.5703125" style="84" customWidth="1"/>
    <col min="1287" max="1287" width="10.28515625" style="84" customWidth="1"/>
    <col min="1288" max="1290" width="9" style="84"/>
    <col min="1291" max="1291" width="21.140625" style="84" customWidth="1"/>
    <col min="1292" max="1292" width="0" style="84" hidden="1" customWidth="1"/>
    <col min="1293" max="1293" width="16.28515625" style="84" customWidth="1"/>
    <col min="1294" max="1294" width="14.85546875" style="84" customWidth="1"/>
    <col min="1295" max="1295" width="14.5703125" style="84" customWidth="1"/>
    <col min="1296" max="1296" width="16.140625" style="84" customWidth="1"/>
    <col min="1297" max="1297" width="17.85546875" style="84" customWidth="1"/>
    <col min="1298" max="1298" width="8.85546875" style="84" customWidth="1"/>
    <col min="1299" max="1299" width="6" style="84" customWidth="1"/>
    <col min="1300" max="1300" width="8.85546875" style="84" customWidth="1"/>
    <col min="1301" max="1301" width="9" style="84"/>
    <col min="1302" max="1302" width="10.5703125" style="84" bestFit="1" customWidth="1"/>
    <col min="1303" max="1537" width="9" style="84"/>
    <col min="1538" max="1538" width="17.5703125" style="84" customWidth="1"/>
    <col min="1539" max="1539" width="10.28515625" style="84" customWidth="1"/>
    <col min="1540" max="1540" width="10.42578125" style="84" customWidth="1"/>
    <col min="1541" max="1541" width="10.140625" style="84" customWidth="1"/>
    <col min="1542" max="1542" width="9.5703125" style="84" customWidth="1"/>
    <col min="1543" max="1543" width="10.28515625" style="84" customWidth="1"/>
    <col min="1544" max="1546" width="9" style="84"/>
    <col min="1547" max="1547" width="21.140625" style="84" customWidth="1"/>
    <col min="1548" max="1548" width="0" style="84" hidden="1" customWidth="1"/>
    <col min="1549" max="1549" width="16.28515625" style="84" customWidth="1"/>
    <col min="1550" max="1550" width="14.85546875" style="84" customWidth="1"/>
    <col min="1551" max="1551" width="14.5703125" style="84" customWidth="1"/>
    <col min="1552" max="1552" width="16.140625" style="84" customWidth="1"/>
    <col min="1553" max="1553" width="17.85546875" style="84" customWidth="1"/>
    <col min="1554" max="1554" width="8.85546875" style="84" customWidth="1"/>
    <col min="1555" max="1555" width="6" style="84" customWidth="1"/>
    <col min="1556" max="1556" width="8.85546875" style="84" customWidth="1"/>
    <col min="1557" max="1557" width="9" style="84"/>
    <col min="1558" max="1558" width="10.5703125" style="84" bestFit="1" customWidth="1"/>
    <col min="1559" max="1793" width="9" style="84"/>
    <col min="1794" max="1794" width="17.5703125" style="84" customWidth="1"/>
    <col min="1795" max="1795" width="10.28515625" style="84" customWidth="1"/>
    <col min="1796" max="1796" width="10.42578125" style="84" customWidth="1"/>
    <col min="1797" max="1797" width="10.140625" style="84" customWidth="1"/>
    <col min="1798" max="1798" width="9.5703125" style="84" customWidth="1"/>
    <col min="1799" max="1799" width="10.28515625" style="84" customWidth="1"/>
    <col min="1800" max="1802" width="9" style="84"/>
    <col min="1803" max="1803" width="21.140625" style="84" customWidth="1"/>
    <col min="1804" max="1804" width="0" style="84" hidden="1" customWidth="1"/>
    <col min="1805" max="1805" width="16.28515625" style="84" customWidth="1"/>
    <col min="1806" max="1806" width="14.85546875" style="84" customWidth="1"/>
    <col min="1807" max="1807" width="14.5703125" style="84" customWidth="1"/>
    <col min="1808" max="1808" width="16.140625" style="84" customWidth="1"/>
    <col min="1809" max="1809" width="17.85546875" style="84" customWidth="1"/>
    <col min="1810" max="1810" width="8.85546875" style="84" customWidth="1"/>
    <col min="1811" max="1811" width="6" style="84" customWidth="1"/>
    <col min="1812" max="1812" width="8.85546875" style="84" customWidth="1"/>
    <col min="1813" max="1813" width="9" style="84"/>
    <col min="1814" max="1814" width="10.5703125" style="84" bestFit="1" customWidth="1"/>
    <col min="1815" max="2049" width="9" style="84"/>
    <col min="2050" max="2050" width="17.5703125" style="84" customWidth="1"/>
    <col min="2051" max="2051" width="10.28515625" style="84" customWidth="1"/>
    <col min="2052" max="2052" width="10.42578125" style="84" customWidth="1"/>
    <col min="2053" max="2053" width="10.140625" style="84" customWidth="1"/>
    <col min="2054" max="2054" width="9.5703125" style="84" customWidth="1"/>
    <col min="2055" max="2055" width="10.28515625" style="84" customWidth="1"/>
    <col min="2056" max="2058" width="9" style="84"/>
    <col min="2059" max="2059" width="21.140625" style="84" customWidth="1"/>
    <col min="2060" max="2060" width="0" style="84" hidden="1" customWidth="1"/>
    <col min="2061" max="2061" width="16.28515625" style="84" customWidth="1"/>
    <col min="2062" max="2062" width="14.85546875" style="84" customWidth="1"/>
    <col min="2063" max="2063" width="14.5703125" style="84" customWidth="1"/>
    <col min="2064" max="2064" width="16.140625" style="84" customWidth="1"/>
    <col min="2065" max="2065" width="17.85546875" style="84" customWidth="1"/>
    <col min="2066" max="2066" width="8.85546875" style="84" customWidth="1"/>
    <col min="2067" max="2067" width="6" style="84" customWidth="1"/>
    <col min="2068" max="2068" width="8.85546875" style="84" customWidth="1"/>
    <col min="2069" max="2069" width="9" style="84"/>
    <col min="2070" max="2070" width="10.5703125" style="84" bestFit="1" customWidth="1"/>
    <col min="2071" max="2305" width="9" style="84"/>
    <col min="2306" max="2306" width="17.5703125" style="84" customWidth="1"/>
    <col min="2307" max="2307" width="10.28515625" style="84" customWidth="1"/>
    <col min="2308" max="2308" width="10.42578125" style="84" customWidth="1"/>
    <col min="2309" max="2309" width="10.140625" style="84" customWidth="1"/>
    <col min="2310" max="2310" width="9.5703125" style="84" customWidth="1"/>
    <col min="2311" max="2311" width="10.28515625" style="84" customWidth="1"/>
    <col min="2312" max="2314" width="9" style="84"/>
    <col min="2315" max="2315" width="21.140625" style="84" customWidth="1"/>
    <col min="2316" max="2316" width="0" style="84" hidden="1" customWidth="1"/>
    <col min="2317" max="2317" width="16.28515625" style="84" customWidth="1"/>
    <col min="2318" max="2318" width="14.85546875" style="84" customWidth="1"/>
    <col min="2319" max="2319" width="14.5703125" style="84" customWidth="1"/>
    <col min="2320" max="2320" width="16.140625" style="84" customWidth="1"/>
    <col min="2321" max="2321" width="17.85546875" style="84" customWidth="1"/>
    <col min="2322" max="2322" width="8.85546875" style="84" customWidth="1"/>
    <col min="2323" max="2323" width="6" style="84" customWidth="1"/>
    <col min="2324" max="2324" width="8.85546875" style="84" customWidth="1"/>
    <col min="2325" max="2325" width="9" style="84"/>
    <col min="2326" max="2326" width="10.5703125" style="84" bestFit="1" customWidth="1"/>
    <col min="2327" max="2561" width="9" style="84"/>
    <col min="2562" max="2562" width="17.5703125" style="84" customWidth="1"/>
    <col min="2563" max="2563" width="10.28515625" style="84" customWidth="1"/>
    <col min="2564" max="2564" width="10.42578125" style="84" customWidth="1"/>
    <col min="2565" max="2565" width="10.140625" style="84" customWidth="1"/>
    <col min="2566" max="2566" width="9.5703125" style="84" customWidth="1"/>
    <col min="2567" max="2567" width="10.28515625" style="84" customWidth="1"/>
    <col min="2568" max="2570" width="9" style="84"/>
    <col min="2571" max="2571" width="21.140625" style="84" customWidth="1"/>
    <col min="2572" max="2572" width="0" style="84" hidden="1" customWidth="1"/>
    <col min="2573" max="2573" width="16.28515625" style="84" customWidth="1"/>
    <col min="2574" max="2574" width="14.85546875" style="84" customWidth="1"/>
    <col min="2575" max="2575" width="14.5703125" style="84" customWidth="1"/>
    <col min="2576" max="2576" width="16.140625" style="84" customWidth="1"/>
    <col min="2577" max="2577" width="17.85546875" style="84" customWidth="1"/>
    <col min="2578" max="2578" width="8.85546875" style="84" customWidth="1"/>
    <col min="2579" max="2579" width="6" style="84" customWidth="1"/>
    <col min="2580" max="2580" width="8.85546875" style="84" customWidth="1"/>
    <col min="2581" max="2581" width="9" style="84"/>
    <col min="2582" max="2582" width="10.5703125" style="84" bestFit="1" customWidth="1"/>
    <col min="2583" max="2817" width="9" style="84"/>
    <col min="2818" max="2818" width="17.5703125" style="84" customWidth="1"/>
    <col min="2819" max="2819" width="10.28515625" style="84" customWidth="1"/>
    <col min="2820" max="2820" width="10.42578125" style="84" customWidth="1"/>
    <col min="2821" max="2821" width="10.140625" style="84" customWidth="1"/>
    <col min="2822" max="2822" width="9.5703125" style="84" customWidth="1"/>
    <col min="2823" max="2823" width="10.28515625" style="84" customWidth="1"/>
    <col min="2824" max="2826" width="9" style="84"/>
    <col min="2827" max="2827" width="21.140625" style="84" customWidth="1"/>
    <col min="2828" max="2828" width="0" style="84" hidden="1" customWidth="1"/>
    <col min="2829" max="2829" width="16.28515625" style="84" customWidth="1"/>
    <col min="2830" max="2830" width="14.85546875" style="84" customWidth="1"/>
    <col min="2831" max="2831" width="14.5703125" style="84" customWidth="1"/>
    <col min="2832" max="2832" width="16.140625" style="84" customWidth="1"/>
    <col min="2833" max="2833" width="17.85546875" style="84" customWidth="1"/>
    <col min="2834" max="2834" width="8.85546875" style="84" customWidth="1"/>
    <col min="2835" max="2835" width="6" style="84" customWidth="1"/>
    <col min="2836" max="2836" width="8.85546875" style="84" customWidth="1"/>
    <col min="2837" max="2837" width="9" style="84"/>
    <col min="2838" max="2838" width="10.5703125" style="84" bestFit="1" customWidth="1"/>
    <col min="2839" max="3073" width="9" style="84"/>
    <col min="3074" max="3074" width="17.5703125" style="84" customWidth="1"/>
    <col min="3075" max="3075" width="10.28515625" style="84" customWidth="1"/>
    <col min="3076" max="3076" width="10.42578125" style="84" customWidth="1"/>
    <col min="3077" max="3077" width="10.140625" style="84" customWidth="1"/>
    <col min="3078" max="3078" width="9.5703125" style="84" customWidth="1"/>
    <col min="3079" max="3079" width="10.28515625" style="84" customWidth="1"/>
    <col min="3080" max="3082" width="9" style="84"/>
    <col min="3083" max="3083" width="21.140625" style="84" customWidth="1"/>
    <col min="3084" max="3084" width="0" style="84" hidden="1" customWidth="1"/>
    <col min="3085" max="3085" width="16.28515625" style="84" customWidth="1"/>
    <col min="3086" max="3086" width="14.85546875" style="84" customWidth="1"/>
    <col min="3087" max="3087" width="14.5703125" style="84" customWidth="1"/>
    <col min="3088" max="3088" width="16.140625" style="84" customWidth="1"/>
    <col min="3089" max="3089" width="17.85546875" style="84" customWidth="1"/>
    <col min="3090" max="3090" width="8.85546875" style="84" customWidth="1"/>
    <col min="3091" max="3091" width="6" style="84" customWidth="1"/>
    <col min="3092" max="3092" width="8.85546875" style="84" customWidth="1"/>
    <col min="3093" max="3093" width="9" style="84"/>
    <col min="3094" max="3094" width="10.5703125" style="84" bestFit="1" customWidth="1"/>
    <col min="3095" max="3329" width="9" style="84"/>
    <col min="3330" max="3330" width="17.5703125" style="84" customWidth="1"/>
    <col min="3331" max="3331" width="10.28515625" style="84" customWidth="1"/>
    <col min="3332" max="3332" width="10.42578125" style="84" customWidth="1"/>
    <col min="3333" max="3333" width="10.140625" style="84" customWidth="1"/>
    <col min="3334" max="3334" width="9.5703125" style="84" customWidth="1"/>
    <col min="3335" max="3335" width="10.28515625" style="84" customWidth="1"/>
    <col min="3336" max="3338" width="9" style="84"/>
    <col min="3339" max="3339" width="21.140625" style="84" customWidth="1"/>
    <col min="3340" max="3340" width="0" style="84" hidden="1" customWidth="1"/>
    <col min="3341" max="3341" width="16.28515625" style="84" customWidth="1"/>
    <col min="3342" max="3342" width="14.85546875" style="84" customWidth="1"/>
    <col min="3343" max="3343" width="14.5703125" style="84" customWidth="1"/>
    <col min="3344" max="3344" width="16.140625" style="84" customWidth="1"/>
    <col min="3345" max="3345" width="17.85546875" style="84" customWidth="1"/>
    <col min="3346" max="3346" width="8.85546875" style="84" customWidth="1"/>
    <col min="3347" max="3347" width="6" style="84" customWidth="1"/>
    <col min="3348" max="3348" width="8.85546875" style="84" customWidth="1"/>
    <col min="3349" max="3349" width="9" style="84"/>
    <col min="3350" max="3350" width="10.5703125" style="84" bestFit="1" customWidth="1"/>
    <col min="3351" max="3585" width="9" style="84"/>
    <col min="3586" max="3586" width="17.5703125" style="84" customWidth="1"/>
    <col min="3587" max="3587" width="10.28515625" style="84" customWidth="1"/>
    <col min="3588" max="3588" width="10.42578125" style="84" customWidth="1"/>
    <col min="3589" max="3589" width="10.140625" style="84" customWidth="1"/>
    <col min="3590" max="3590" width="9.5703125" style="84" customWidth="1"/>
    <col min="3591" max="3591" width="10.28515625" style="84" customWidth="1"/>
    <col min="3592" max="3594" width="9" style="84"/>
    <col min="3595" max="3595" width="21.140625" style="84" customWidth="1"/>
    <col min="3596" max="3596" width="0" style="84" hidden="1" customWidth="1"/>
    <col min="3597" max="3597" width="16.28515625" style="84" customWidth="1"/>
    <col min="3598" max="3598" width="14.85546875" style="84" customWidth="1"/>
    <col min="3599" max="3599" width="14.5703125" style="84" customWidth="1"/>
    <col min="3600" max="3600" width="16.140625" style="84" customWidth="1"/>
    <col min="3601" max="3601" width="17.85546875" style="84" customWidth="1"/>
    <col min="3602" max="3602" width="8.85546875" style="84" customWidth="1"/>
    <col min="3603" max="3603" width="6" style="84" customWidth="1"/>
    <col min="3604" max="3604" width="8.85546875" style="84" customWidth="1"/>
    <col min="3605" max="3605" width="9" style="84"/>
    <col min="3606" max="3606" width="10.5703125" style="84" bestFit="1" customWidth="1"/>
    <col min="3607" max="3841" width="9" style="84"/>
    <col min="3842" max="3842" width="17.5703125" style="84" customWidth="1"/>
    <col min="3843" max="3843" width="10.28515625" style="84" customWidth="1"/>
    <col min="3844" max="3844" width="10.42578125" style="84" customWidth="1"/>
    <col min="3845" max="3845" width="10.140625" style="84" customWidth="1"/>
    <col min="3846" max="3846" width="9.5703125" style="84" customWidth="1"/>
    <col min="3847" max="3847" width="10.28515625" style="84" customWidth="1"/>
    <col min="3848" max="3850" width="9" style="84"/>
    <col min="3851" max="3851" width="21.140625" style="84" customWidth="1"/>
    <col min="3852" max="3852" width="0" style="84" hidden="1" customWidth="1"/>
    <col min="3853" max="3853" width="16.28515625" style="84" customWidth="1"/>
    <col min="3854" max="3854" width="14.85546875" style="84" customWidth="1"/>
    <col min="3855" max="3855" width="14.5703125" style="84" customWidth="1"/>
    <col min="3856" max="3856" width="16.140625" style="84" customWidth="1"/>
    <col min="3857" max="3857" width="17.85546875" style="84" customWidth="1"/>
    <col min="3858" max="3858" width="8.85546875" style="84" customWidth="1"/>
    <col min="3859" max="3859" width="6" style="84" customWidth="1"/>
    <col min="3860" max="3860" width="8.85546875" style="84" customWidth="1"/>
    <col min="3861" max="3861" width="9" style="84"/>
    <col min="3862" max="3862" width="10.5703125" style="84" bestFit="1" customWidth="1"/>
    <col min="3863" max="4097" width="9" style="84"/>
    <col min="4098" max="4098" width="17.5703125" style="84" customWidth="1"/>
    <col min="4099" max="4099" width="10.28515625" style="84" customWidth="1"/>
    <col min="4100" max="4100" width="10.42578125" style="84" customWidth="1"/>
    <col min="4101" max="4101" width="10.140625" style="84" customWidth="1"/>
    <col min="4102" max="4102" width="9.5703125" style="84" customWidth="1"/>
    <col min="4103" max="4103" width="10.28515625" style="84" customWidth="1"/>
    <col min="4104" max="4106" width="9" style="84"/>
    <col min="4107" max="4107" width="21.140625" style="84" customWidth="1"/>
    <col min="4108" max="4108" width="0" style="84" hidden="1" customWidth="1"/>
    <col min="4109" max="4109" width="16.28515625" style="84" customWidth="1"/>
    <col min="4110" max="4110" width="14.85546875" style="84" customWidth="1"/>
    <col min="4111" max="4111" width="14.5703125" style="84" customWidth="1"/>
    <col min="4112" max="4112" width="16.140625" style="84" customWidth="1"/>
    <col min="4113" max="4113" width="17.85546875" style="84" customWidth="1"/>
    <col min="4114" max="4114" width="8.85546875" style="84" customWidth="1"/>
    <col min="4115" max="4115" width="6" style="84" customWidth="1"/>
    <col min="4116" max="4116" width="8.85546875" style="84" customWidth="1"/>
    <col min="4117" max="4117" width="9" style="84"/>
    <col min="4118" max="4118" width="10.5703125" style="84" bestFit="1" customWidth="1"/>
    <col min="4119" max="4353" width="9" style="84"/>
    <col min="4354" max="4354" width="17.5703125" style="84" customWidth="1"/>
    <col min="4355" max="4355" width="10.28515625" style="84" customWidth="1"/>
    <col min="4356" max="4356" width="10.42578125" style="84" customWidth="1"/>
    <col min="4357" max="4357" width="10.140625" style="84" customWidth="1"/>
    <col min="4358" max="4358" width="9.5703125" style="84" customWidth="1"/>
    <col min="4359" max="4359" width="10.28515625" style="84" customWidth="1"/>
    <col min="4360" max="4362" width="9" style="84"/>
    <col min="4363" max="4363" width="21.140625" style="84" customWidth="1"/>
    <col min="4364" max="4364" width="0" style="84" hidden="1" customWidth="1"/>
    <col min="4365" max="4365" width="16.28515625" style="84" customWidth="1"/>
    <col min="4366" max="4366" width="14.85546875" style="84" customWidth="1"/>
    <col min="4367" max="4367" width="14.5703125" style="84" customWidth="1"/>
    <col min="4368" max="4368" width="16.140625" style="84" customWidth="1"/>
    <col min="4369" max="4369" width="17.85546875" style="84" customWidth="1"/>
    <col min="4370" max="4370" width="8.85546875" style="84" customWidth="1"/>
    <col min="4371" max="4371" width="6" style="84" customWidth="1"/>
    <col min="4372" max="4372" width="8.85546875" style="84" customWidth="1"/>
    <col min="4373" max="4373" width="9" style="84"/>
    <col min="4374" max="4374" width="10.5703125" style="84" bestFit="1" customWidth="1"/>
    <col min="4375" max="4609" width="9" style="84"/>
    <col min="4610" max="4610" width="17.5703125" style="84" customWidth="1"/>
    <col min="4611" max="4611" width="10.28515625" style="84" customWidth="1"/>
    <col min="4612" max="4612" width="10.42578125" style="84" customWidth="1"/>
    <col min="4613" max="4613" width="10.140625" style="84" customWidth="1"/>
    <col min="4614" max="4614" width="9.5703125" style="84" customWidth="1"/>
    <col min="4615" max="4615" width="10.28515625" style="84" customWidth="1"/>
    <col min="4616" max="4618" width="9" style="84"/>
    <col min="4619" max="4619" width="21.140625" style="84" customWidth="1"/>
    <col min="4620" max="4620" width="0" style="84" hidden="1" customWidth="1"/>
    <col min="4621" max="4621" width="16.28515625" style="84" customWidth="1"/>
    <col min="4622" max="4622" width="14.85546875" style="84" customWidth="1"/>
    <col min="4623" max="4623" width="14.5703125" style="84" customWidth="1"/>
    <col min="4624" max="4624" width="16.140625" style="84" customWidth="1"/>
    <col min="4625" max="4625" width="17.85546875" style="84" customWidth="1"/>
    <col min="4626" max="4626" width="8.85546875" style="84" customWidth="1"/>
    <col min="4627" max="4627" width="6" style="84" customWidth="1"/>
    <col min="4628" max="4628" width="8.85546875" style="84" customWidth="1"/>
    <col min="4629" max="4629" width="9" style="84"/>
    <col min="4630" max="4630" width="10.5703125" style="84" bestFit="1" customWidth="1"/>
    <col min="4631" max="4865" width="9" style="84"/>
    <col min="4866" max="4866" width="17.5703125" style="84" customWidth="1"/>
    <col min="4867" max="4867" width="10.28515625" style="84" customWidth="1"/>
    <col min="4868" max="4868" width="10.42578125" style="84" customWidth="1"/>
    <col min="4869" max="4869" width="10.140625" style="84" customWidth="1"/>
    <col min="4870" max="4870" width="9.5703125" style="84" customWidth="1"/>
    <col min="4871" max="4871" width="10.28515625" style="84" customWidth="1"/>
    <col min="4872" max="4874" width="9" style="84"/>
    <col min="4875" max="4875" width="21.140625" style="84" customWidth="1"/>
    <col min="4876" max="4876" width="0" style="84" hidden="1" customWidth="1"/>
    <col min="4877" max="4877" width="16.28515625" style="84" customWidth="1"/>
    <col min="4878" max="4878" width="14.85546875" style="84" customWidth="1"/>
    <col min="4879" max="4879" width="14.5703125" style="84" customWidth="1"/>
    <col min="4880" max="4880" width="16.140625" style="84" customWidth="1"/>
    <col min="4881" max="4881" width="17.85546875" style="84" customWidth="1"/>
    <col min="4882" max="4882" width="8.85546875" style="84" customWidth="1"/>
    <col min="4883" max="4883" width="6" style="84" customWidth="1"/>
    <col min="4884" max="4884" width="8.85546875" style="84" customWidth="1"/>
    <col min="4885" max="4885" width="9" style="84"/>
    <col min="4886" max="4886" width="10.5703125" style="84" bestFit="1" customWidth="1"/>
    <col min="4887" max="5121" width="9" style="84"/>
    <col min="5122" max="5122" width="17.5703125" style="84" customWidth="1"/>
    <col min="5123" max="5123" width="10.28515625" style="84" customWidth="1"/>
    <col min="5124" max="5124" width="10.42578125" style="84" customWidth="1"/>
    <col min="5125" max="5125" width="10.140625" style="84" customWidth="1"/>
    <col min="5126" max="5126" width="9.5703125" style="84" customWidth="1"/>
    <col min="5127" max="5127" width="10.28515625" style="84" customWidth="1"/>
    <col min="5128" max="5130" width="9" style="84"/>
    <col min="5131" max="5131" width="21.140625" style="84" customWidth="1"/>
    <col min="5132" max="5132" width="0" style="84" hidden="1" customWidth="1"/>
    <col min="5133" max="5133" width="16.28515625" style="84" customWidth="1"/>
    <col min="5134" max="5134" width="14.85546875" style="84" customWidth="1"/>
    <col min="5135" max="5135" width="14.5703125" style="84" customWidth="1"/>
    <col min="5136" max="5136" width="16.140625" style="84" customWidth="1"/>
    <col min="5137" max="5137" width="17.85546875" style="84" customWidth="1"/>
    <col min="5138" max="5138" width="8.85546875" style="84" customWidth="1"/>
    <col min="5139" max="5139" width="6" style="84" customWidth="1"/>
    <col min="5140" max="5140" width="8.85546875" style="84" customWidth="1"/>
    <col min="5141" max="5141" width="9" style="84"/>
    <col min="5142" max="5142" width="10.5703125" style="84" bestFit="1" customWidth="1"/>
    <col min="5143" max="5377" width="9" style="84"/>
    <col min="5378" max="5378" width="17.5703125" style="84" customWidth="1"/>
    <col min="5379" max="5379" width="10.28515625" style="84" customWidth="1"/>
    <col min="5380" max="5380" width="10.42578125" style="84" customWidth="1"/>
    <col min="5381" max="5381" width="10.140625" style="84" customWidth="1"/>
    <col min="5382" max="5382" width="9.5703125" style="84" customWidth="1"/>
    <col min="5383" max="5383" width="10.28515625" style="84" customWidth="1"/>
    <col min="5384" max="5386" width="9" style="84"/>
    <col min="5387" max="5387" width="21.140625" style="84" customWidth="1"/>
    <col min="5388" max="5388" width="0" style="84" hidden="1" customWidth="1"/>
    <col min="5389" max="5389" width="16.28515625" style="84" customWidth="1"/>
    <col min="5390" max="5390" width="14.85546875" style="84" customWidth="1"/>
    <col min="5391" max="5391" width="14.5703125" style="84" customWidth="1"/>
    <col min="5392" max="5392" width="16.140625" style="84" customWidth="1"/>
    <col min="5393" max="5393" width="17.85546875" style="84" customWidth="1"/>
    <col min="5394" max="5394" width="8.85546875" style="84" customWidth="1"/>
    <col min="5395" max="5395" width="6" style="84" customWidth="1"/>
    <col min="5396" max="5396" width="8.85546875" style="84" customWidth="1"/>
    <col min="5397" max="5397" width="9" style="84"/>
    <col min="5398" max="5398" width="10.5703125" style="84" bestFit="1" customWidth="1"/>
    <col min="5399" max="5633" width="9" style="84"/>
    <col min="5634" max="5634" width="17.5703125" style="84" customWidth="1"/>
    <col min="5635" max="5635" width="10.28515625" style="84" customWidth="1"/>
    <col min="5636" max="5636" width="10.42578125" style="84" customWidth="1"/>
    <col min="5637" max="5637" width="10.140625" style="84" customWidth="1"/>
    <col min="5638" max="5638" width="9.5703125" style="84" customWidth="1"/>
    <col min="5639" max="5639" width="10.28515625" style="84" customWidth="1"/>
    <col min="5640" max="5642" width="9" style="84"/>
    <col min="5643" max="5643" width="21.140625" style="84" customWidth="1"/>
    <col min="5644" max="5644" width="0" style="84" hidden="1" customWidth="1"/>
    <col min="5645" max="5645" width="16.28515625" style="84" customWidth="1"/>
    <col min="5646" max="5646" width="14.85546875" style="84" customWidth="1"/>
    <col min="5647" max="5647" width="14.5703125" style="84" customWidth="1"/>
    <col min="5648" max="5648" width="16.140625" style="84" customWidth="1"/>
    <col min="5649" max="5649" width="17.85546875" style="84" customWidth="1"/>
    <col min="5650" max="5650" width="8.85546875" style="84" customWidth="1"/>
    <col min="5651" max="5651" width="6" style="84" customWidth="1"/>
    <col min="5652" max="5652" width="8.85546875" style="84" customWidth="1"/>
    <col min="5653" max="5653" width="9" style="84"/>
    <col min="5654" max="5654" width="10.5703125" style="84" bestFit="1" customWidth="1"/>
    <col min="5655" max="5889" width="9" style="84"/>
    <col min="5890" max="5890" width="17.5703125" style="84" customWidth="1"/>
    <col min="5891" max="5891" width="10.28515625" style="84" customWidth="1"/>
    <col min="5892" max="5892" width="10.42578125" style="84" customWidth="1"/>
    <col min="5893" max="5893" width="10.140625" style="84" customWidth="1"/>
    <col min="5894" max="5894" width="9.5703125" style="84" customWidth="1"/>
    <col min="5895" max="5895" width="10.28515625" style="84" customWidth="1"/>
    <col min="5896" max="5898" width="9" style="84"/>
    <col min="5899" max="5899" width="21.140625" style="84" customWidth="1"/>
    <col min="5900" max="5900" width="0" style="84" hidden="1" customWidth="1"/>
    <col min="5901" max="5901" width="16.28515625" style="84" customWidth="1"/>
    <col min="5902" max="5902" width="14.85546875" style="84" customWidth="1"/>
    <col min="5903" max="5903" width="14.5703125" style="84" customWidth="1"/>
    <col min="5904" max="5904" width="16.140625" style="84" customWidth="1"/>
    <col min="5905" max="5905" width="17.85546875" style="84" customWidth="1"/>
    <col min="5906" max="5906" width="8.85546875" style="84" customWidth="1"/>
    <col min="5907" max="5907" width="6" style="84" customWidth="1"/>
    <col min="5908" max="5908" width="8.85546875" style="84" customWidth="1"/>
    <col min="5909" max="5909" width="9" style="84"/>
    <col min="5910" max="5910" width="10.5703125" style="84" bestFit="1" customWidth="1"/>
    <col min="5911" max="6145" width="9" style="84"/>
    <col min="6146" max="6146" width="17.5703125" style="84" customWidth="1"/>
    <col min="6147" max="6147" width="10.28515625" style="84" customWidth="1"/>
    <col min="6148" max="6148" width="10.42578125" style="84" customWidth="1"/>
    <col min="6149" max="6149" width="10.140625" style="84" customWidth="1"/>
    <col min="6150" max="6150" width="9.5703125" style="84" customWidth="1"/>
    <col min="6151" max="6151" width="10.28515625" style="84" customWidth="1"/>
    <col min="6152" max="6154" width="9" style="84"/>
    <col min="6155" max="6155" width="21.140625" style="84" customWidth="1"/>
    <col min="6156" max="6156" width="0" style="84" hidden="1" customWidth="1"/>
    <col min="6157" max="6157" width="16.28515625" style="84" customWidth="1"/>
    <col min="6158" max="6158" width="14.85546875" style="84" customWidth="1"/>
    <col min="6159" max="6159" width="14.5703125" style="84" customWidth="1"/>
    <col min="6160" max="6160" width="16.140625" style="84" customWidth="1"/>
    <col min="6161" max="6161" width="17.85546875" style="84" customWidth="1"/>
    <col min="6162" max="6162" width="8.85546875" style="84" customWidth="1"/>
    <col min="6163" max="6163" width="6" style="84" customWidth="1"/>
    <col min="6164" max="6164" width="8.85546875" style="84" customWidth="1"/>
    <col min="6165" max="6165" width="9" style="84"/>
    <col min="6166" max="6166" width="10.5703125" style="84" bestFit="1" customWidth="1"/>
    <col min="6167" max="6401" width="9" style="84"/>
    <col min="6402" max="6402" width="17.5703125" style="84" customWidth="1"/>
    <col min="6403" max="6403" width="10.28515625" style="84" customWidth="1"/>
    <col min="6404" max="6404" width="10.42578125" style="84" customWidth="1"/>
    <col min="6405" max="6405" width="10.140625" style="84" customWidth="1"/>
    <col min="6406" max="6406" width="9.5703125" style="84" customWidth="1"/>
    <col min="6407" max="6407" width="10.28515625" style="84" customWidth="1"/>
    <col min="6408" max="6410" width="9" style="84"/>
    <col min="6411" max="6411" width="21.140625" style="84" customWidth="1"/>
    <col min="6412" max="6412" width="0" style="84" hidden="1" customWidth="1"/>
    <col min="6413" max="6413" width="16.28515625" style="84" customWidth="1"/>
    <col min="6414" max="6414" width="14.85546875" style="84" customWidth="1"/>
    <col min="6415" max="6415" width="14.5703125" style="84" customWidth="1"/>
    <col min="6416" max="6416" width="16.140625" style="84" customWidth="1"/>
    <col min="6417" max="6417" width="17.85546875" style="84" customWidth="1"/>
    <col min="6418" max="6418" width="8.85546875" style="84" customWidth="1"/>
    <col min="6419" max="6419" width="6" style="84" customWidth="1"/>
    <col min="6420" max="6420" width="8.85546875" style="84" customWidth="1"/>
    <col min="6421" max="6421" width="9" style="84"/>
    <col min="6422" max="6422" width="10.5703125" style="84" bestFit="1" customWidth="1"/>
    <col min="6423" max="6657" width="9" style="84"/>
    <col min="6658" max="6658" width="17.5703125" style="84" customWidth="1"/>
    <col min="6659" max="6659" width="10.28515625" style="84" customWidth="1"/>
    <col min="6660" max="6660" width="10.42578125" style="84" customWidth="1"/>
    <col min="6661" max="6661" width="10.140625" style="84" customWidth="1"/>
    <col min="6662" max="6662" width="9.5703125" style="84" customWidth="1"/>
    <col min="6663" max="6663" width="10.28515625" style="84" customWidth="1"/>
    <col min="6664" max="6666" width="9" style="84"/>
    <col min="6667" max="6667" width="21.140625" style="84" customWidth="1"/>
    <col min="6668" max="6668" width="0" style="84" hidden="1" customWidth="1"/>
    <col min="6669" max="6669" width="16.28515625" style="84" customWidth="1"/>
    <col min="6670" max="6670" width="14.85546875" style="84" customWidth="1"/>
    <col min="6671" max="6671" width="14.5703125" style="84" customWidth="1"/>
    <col min="6672" max="6672" width="16.140625" style="84" customWidth="1"/>
    <col min="6673" max="6673" width="17.85546875" style="84" customWidth="1"/>
    <col min="6674" max="6674" width="8.85546875" style="84" customWidth="1"/>
    <col min="6675" max="6675" width="6" style="84" customWidth="1"/>
    <col min="6676" max="6676" width="8.85546875" style="84" customWidth="1"/>
    <col min="6677" max="6677" width="9" style="84"/>
    <col min="6678" max="6678" width="10.5703125" style="84" bestFit="1" customWidth="1"/>
    <col min="6679" max="6913" width="9" style="84"/>
    <col min="6914" max="6914" width="17.5703125" style="84" customWidth="1"/>
    <col min="6915" max="6915" width="10.28515625" style="84" customWidth="1"/>
    <col min="6916" max="6916" width="10.42578125" style="84" customWidth="1"/>
    <col min="6917" max="6917" width="10.140625" style="84" customWidth="1"/>
    <col min="6918" max="6918" width="9.5703125" style="84" customWidth="1"/>
    <col min="6919" max="6919" width="10.28515625" style="84" customWidth="1"/>
    <col min="6920" max="6922" width="9" style="84"/>
    <col min="6923" max="6923" width="21.140625" style="84" customWidth="1"/>
    <col min="6924" max="6924" width="0" style="84" hidden="1" customWidth="1"/>
    <col min="6925" max="6925" width="16.28515625" style="84" customWidth="1"/>
    <col min="6926" max="6926" width="14.85546875" style="84" customWidth="1"/>
    <col min="6927" max="6927" width="14.5703125" style="84" customWidth="1"/>
    <col min="6928" max="6928" width="16.140625" style="84" customWidth="1"/>
    <col min="6929" max="6929" width="17.85546875" style="84" customWidth="1"/>
    <col min="6930" max="6930" width="8.85546875" style="84" customWidth="1"/>
    <col min="6931" max="6931" width="6" style="84" customWidth="1"/>
    <col min="6932" max="6932" width="8.85546875" style="84" customWidth="1"/>
    <col min="6933" max="6933" width="9" style="84"/>
    <col min="6934" max="6934" width="10.5703125" style="84" bestFit="1" customWidth="1"/>
    <col min="6935" max="7169" width="9" style="84"/>
    <col min="7170" max="7170" width="17.5703125" style="84" customWidth="1"/>
    <col min="7171" max="7171" width="10.28515625" style="84" customWidth="1"/>
    <col min="7172" max="7172" width="10.42578125" style="84" customWidth="1"/>
    <col min="7173" max="7173" width="10.140625" style="84" customWidth="1"/>
    <col min="7174" max="7174" width="9.5703125" style="84" customWidth="1"/>
    <col min="7175" max="7175" width="10.28515625" style="84" customWidth="1"/>
    <col min="7176" max="7178" width="9" style="84"/>
    <col min="7179" max="7179" width="21.140625" style="84" customWidth="1"/>
    <col min="7180" max="7180" width="0" style="84" hidden="1" customWidth="1"/>
    <col min="7181" max="7181" width="16.28515625" style="84" customWidth="1"/>
    <col min="7182" max="7182" width="14.85546875" style="84" customWidth="1"/>
    <col min="7183" max="7183" width="14.5703125" style="84" customWidth="1"/>
    <col min="7184" max="7184" width="16.140625" style="84" customWidth="1"/>
    <col min="7185" max="7185" width="17.85546875" style="84" customWidth="1"/>
    <col min="7186" max="7186" width="8.85546875" style="84" customWidth="1"/>
    <col min="7187" max="7187" width="6" style="84" customWidth="1"/>
    <col min="7188" max="7188" width="8.85546875" style="84" customWidth="1"/>
    <col min="7189" max="7189" width="9" style="84"/>
    <col min="7190" max="7190" width="10.5703125" style="84" bestFit="1" customWidth="1"/>
    <col min="7191" max="7425" width="9" style="84"/>
    <col min="7426" max="7426" width="17.5703125" style="84" customWidth="1"/>
    <col min="7427" max="7427" width="10.28515625" style="84" customWidth="1"/>
    <col min="7428" max="7428" width="10.42578125" style="84" customWidth="1"/>
    <col min="7429" max="7429" width="10.140625" style="84" customWidth="1"/>
    <col min="7430" max="7430" width="9.5703125" style="84" customWidth="1"/>
    <col min="7431" max="7431" width="10.28515625" style="84" customWidth="1"/>
    <col min="7432" max="7434" width="9" style="84"/>
    <col min="7435" max="7435" width="21.140625" style="84" customWidth="1"/>
    <col min="7436" max="7436" width="0" style="84" hidden="1" customWidth="1"/>
    <col min="7437" max="7437" width="16.28515625" style="84" customWidth="1"/>
    <col min="7438" max="7438" width="14.85546875" style="84" customWidth="1"/>
    <col min="7439" max="7439" width="14.5703125" style="84" customWidth="1"/>
    <col min="7440" max="7440" width="16.140625" style="84" customWidth="1"/>
    <col min="7441" max="7441" width="17.85546875" style="84" customWidth="1"/>
    <col min="7442" max="7442" width="8.85546875" style="84" customWidth="1"/>
    <col min="7443" max="7443" width="6" style="84" customWidth="1"/>
    <col min="7444" max="7444" width="8.85546875" style="84" customWidth="1"/>
    <col min="7445" max="7445" width="9" style="84"/>
    <col min="7446" max="7446" width="10.5703125" style="84" bestFit="1" customWidth="1"/>
    <col min="7447" max="7681" width="9" style="84"/>
    <col min="7682" max="7682" width="17.5703125" style="84" customWidth="1"/>
    <col min="7683" max="7683" width="10.28515625" style="84" customWidth="1"/>
    <col min="7684" max="7684" width="10.42578125" style="84" customWidth="1"/>
    <col min="7685" max="7685" width="10.140625" style="84" customWidth="1"/>
    <col min="7686" max="7686" width="9.5703125" style="84" customWidth="1"/>
    <col min="7687" max="7687" width="10.28515625" style="84" customWidth="1"/>
    <col min="7688" max="7690" width="9" style="84"/>
    <col min="7691" max="7691" width="21.140625" style="84" customWidth="1"/>
    <col min="7692" max="7692" width="0" style="84" hidden="1" customWidth="1"/>
    <col min="7693" max="7693" width="16.28515625" style="84" customWidth="1"/>
    <col min="7694" max="7694" width="14.85546875" style="84" customWidth="1"/>
    <col min="7695" max="7695" width="14.5703125" style="84" customWidth="1"/>
    <col min="7696" max="7696" width="16.140625" style="84" customWidth="1"/>
    <col min="7697" max="7697" width="17.85546875" style="84" customWidth="1"/>
    <col min="7698" max="7698" width="8.85546875" style="84" customWidth="1"/>
    <col min="7699" max="7699" width="6" style="84" customWidth="1"/>
    <col min="7700" max="7700" width="8.85546875" style="84" customWidth="1"/>
    <col min="7701" max="7701" width="9" style="84"/>
    <col min="7702" max="7702" width="10.5703125" style="84" bestFit="1" customWidth="1"/>
    <col min="7703" max="7937" width="9" style="84"/>
    <col min="7938" max="7938" width="17.5703125" style="84" customWidth="1"/>
    <col min="7939" max="7939" width="10.28515625" style="84" customWidth="1"/>
    <col min="7940" max="7940" width="10.42578125" style="84" customWidth="1"/>
    <col min="7941" max="7941" width="10.140625" style="84" customWidth="1"/>
    <col min="7942" max="7942" width="9.5703125" style="84" customWidth="1"/>
    <col min="7943" max="7943" width="10.28515625" style="84" customWidth="1"/>
    <col min="7944" max="7946" width="9" style="84"/>
    <col min="7947" max="7947" width="21.140625" style="84" customWidth="1"/>
    <col min="7948" max="7948" width="0" style="84" hidden="1" customWidth="1"/>
    <col min="7949" max="7949" width="16.28515625" style="84" customWidth="1"/>
    <col min="7950" max="7950" width="14.85546875" style="84" customWidth="1"/>
    <col min="7951" max="7951" width="14.5703125" style="84" customWidth="1"/>
    <col min="7952" max="7952" width="16.140625" style="84" customWidth="1"/>
    <col min="7953" max="7953" width="17.85546875" style="84" customWidth="1"/>
    <col min="7954" max="7954" width="8.85546875" style="84" customWidth="1"/>
    <col min="7955" max="7955" width="6" style="84" customWidth="1"/>
    <col min="7956" max="7956" width="8.85546875" style="84" customWidth="1"/>
    <col min="7957" max="7957" width="9" style="84"/>
    <col min="7958" max="7958" width="10.5703125" style="84" bestFit="1" customWidth="1"/>
    <col min="7959" max="8193" width="9" style="84"/>
    <col min="8194" max="8194" width="17.5703125" style="84" customWidth="1"/>
    <col min="8195" max="8195" width="10.28515625" style="84" customWidth="1"/>
    <col min="8196" max="8196" width="10.42578125" style="84" customWidth="1"/>
    <col min="8197" max="8197" width="10.140625" style="84" customWidth="1"/>
    <col min="8198" max="8198" width="9.5703125" style="84" customWidth="1"/>
    <col min="8199" max="8199" width="10.28515625" style="84" customWidth="1"/>
    <col min="8200" max="8202" width="9" style="84"/>
    <col min="8203" max="8203" width="21.140625" style="84" customWidth="1"/>
    <col min="8204" max="8204" width="0" style="84" hidden="1" customWidth="1"/>
    <col min="8205" max="8205" width="16.28515625" style="84" customWidth="1"/>
    <col min="8206" max="8206" width="14.85546875" style="84" customWidth="1"/>
    <col min="8207" max="8207" width="14.5703125" style="84" customWidth="1"/>
    <col min="8208" max="8208" width="16.140625" style="84" customWidth="1"/>
    <col min="8209" max="8209" width="17.85546875" style="84" customWidth="1"/>
    <col min="8210" max="8210" width="8.85546875" style="84" customWidth="1"/>
    <col min="8211" max="8211" width="6" style="84" customWidth="1"/>
    <col min="8212" max="8212" width="8.85546875" style="84" customWidth="1"/>
    <col min="8213" max="8213" width="9" style="84"/>
    <col min="8214" max="8214" width="10.5703125" style="84" bestFit="1" customWidth="1"/>
    <col min="8215" max="8449" width="9" style="84"/>
    <col min="8450" max="8450" width="17.5703125" style="84" customWidth="1"/>
    <col min="8451" max="8451" width="10.28515625" style="84" customWidth="1"/>
    <col min="8452" max="8452" width="10.42578125" style="84" customWidth="1"/>
    <col min="8453" max="8453" width="10.140625" style="84" customWidth="1"/>
    <col min="8454" max="8454" width="9.5703125" style="84" customWidth="1"/>
    <col min="8455" max="8455" width="10.28515625" style="84" customWidth="1"/>
    <col min="8456" max="8458" width="9" style="84"/>
    <col min="8459" max="8459" width="21.140625" style="84" customWidth="1"/>
    <col min="8460" max="8460" width="0" style="84" hidden="1" customWidth="1"/>
    <col min="8461" max="8461" width="16.28515625" style="84" customWidth="1"/>
    <col min="8462" max="8462" width="14.85546875" style="84" customWidth="1"/>
    <col min="8463" max="8463" width="14.5703125" style="84" customWidth="1"/>
    <col min="8464" max="8464" width="16.140625" style="84" customWidth="1"/>
    <col min="8465" max="8465" width="17.85546875" style="84" customWidth="1"/>
    <col min="8466" max="8466" width="8.85546875" style="84" customWidth="1"/>
    <col min="8467" max="8467" width="6" style="84" customWidth="1"/>
    <col min="8468" max="8468" width="8.85546875" style="84" customWidth="1"/>
    <col min="8469" max="8469" width="9" style="84"/>
    <col min="8470" max="8470" width="10.5703125" style="84" bestFit="1" customWidth="1"/>
    <col min="8471" max="8705" width="9" style="84"/>
    <col min="8706" max="8706" width="17.5703125" style="84" customWidth="1"/>
    <col min="8707" max="8707" width="10.28515625" style="84" customWidth="1"/>
    <col min="8708" max="8708" width="10.42578125" style="84" customWidth="1"/>
    <col min="8709" max="8709" width="10.140625" style="84" customWidth="1"/>
    <col min="8710" max="8710" width="9.5703125" style="84" customWidth="1"/>
    <col min="8711" max="8711" width="10.28515625" style="84" customWidth="1"/>
    <col min="8712" max="8714" width="9" style="84"/>
    <col min="8715" max="8715" width="21.140625" style="84" customWidth="1"/>
    <col min="8716" max="8716" width="0" style="84" hidden="1" customWidth="1"/>
    <col min="8717" max="8717" width="16.28515625" style="84" customWidth="1"/>
    <col min="8718" max="8718" width="14.85546875" style="84" customWidth="1"/>
    <col min="8719" max="8719" width="14.5703125" style="84" customWidth="1"/>
    <col min="8720" max="8720" width="16.140625" style="84" customWidth="1"/>
    <col min="8721" max="8721" width="17.85546875" style="84" customWidth="1"/>
    <col min="8722" max="8722" width="8.85546875" style="84" customWidth="1"/>
    <col min="8723" max="8723" width="6" style="84" customWidth="1"/>
    <col min="8724" max="8724" width="8.85546875" style="84" customWidth="1"/>
    <col min="8725" max="8725" width="9" style="84"/>
    <col min="8726" max="8726" width="10.5703125" style="84" bestFit="1" customWidth="1"/>
    <col min="8727" max="8961" width="9" style="84"/>
    <col min="8962" max="8962" width="17.5703125" style="84" customWidth="1"/>
    <col min="8963" max="8963" width="10.28515625" style="84" customWidth="1"/>
    <col min="8964" max="8964" width="10.42578125" style="84" customWidth="1"/>
    <col min="8965" max="8965" width="10.140625" style="84" customWidth="1"/>
    <col min="8966" max="8966" width="9.5703125" style="84" customWidth="1"/>
    <col min="8967" max="8967" width="10.28515625" style="84" customWidth="1"/>
    <col min="8968" max="8970" width="9" style="84"/>
    <col min="8971" max="8971" width="21.140625" style="84" customWidth="1"/>
    <col min="8972" max="8972" width="0" style="84" hidden="1" customWidth="1"/>
    <col min="8973" max="8973" width="16.28515625" style="84" customWidth="1"/>
    <col min="8974" max="8974" width="14.85546875" style="84" customWidth="1"/>
    <col min="8975" max="8975" width="14.5703125" style="84" customWidth="1"/>
    <col min="8976" max="8976" width="16.140625" style="84" customWidth="1"/>
    <col min="8977" max="8977" width="17.85546875" style="84" customWidth="1"/>
    <col min="8978" max="8978" width="8.85546875" style="84" customWidth="1"/>
    <col min="8979" max="8979" width="6" style="84" customWidth="1"/>
    <col min="8980" max="8980" width="8.85546875" style="84" customWidth="1"/>
    <col min="8981" max="8981" width="9" style="84"/>
    <col min="8982" max="8982" width="10.5703125" style="84" bestFit="1" customWidth="1"/>
    <col min="8983" max="9217" width="9" style="84"/>
    <col min="9218" max="9218" width="17.5703125" style="84" customWidth="1"/>
    <col min="9219" max="9219" width="10.28515625" style="84" customWidth="1"/>
    <col min="9220" max="9220" width="10.42578125" style="84" customWidth="1"/>
    <col min="9221" max="9221" width="10.140625" style="84" customWidth="1"/>
    <col min="9222" max="9222" width="9.5703125" style="84" customWidth="1"/>
    <col min="9223" max="9223" width="10.28515625" style="84" customWidth="1"/>
    <col min="9224" max="9226" width="9" style="84"/>
    <col min="9227" max="9227" width="21.140625" style="84" customWidth="1"/>
    <col min="9228" max="9228" width="0" style="84" hidden="1" customWidth="1"/>
    <col min="9229" max="9229" width="16.28515625" style="84" customWidth="1"/>
    <col min="9230" max="9230" width="14.85546875" style="84" customWidth="1"/>
    <col min="9231" max="9231" width="14.5703125" style="84" customWidth="1"/>
    <col min="9232" max="9232" width="16.140625" style="84" customWidth="1"/>
    <col min="9233" max="9233" width="17.85546875" style="84" customWidth="1"/>
    <col min="9234" max="9234" width="8.85546875" style="84" customWidth="1"/>
    <col min="9235" max="9235" width="6" style="84" customWidth="1"/>
    <col min="9236" max="9236" width="8.85546875" style="84" customWidth="1"/>
    <col min="9237" max="9237" width="9" style="84"/>
    <col min="9238" max="9238" width="10.5703125" style="84" bestFit="1" customWidth="1"/>
    <col min="9239" max="9473" width="9" style="84"/>
    <col min="9474" max="9474" width="17.5703125" style="84" customWidth="1"/>
    <col min="9475" max="9475" width="10.28515625" style="84" customWidth="1"/>
    <col min="9476" max="9476" width="10.42578125" style="84" customWidth="1"/>
    <col min="9477" max="9477" width="10.140625" style="84" customWidth="1"/>
    <col min="9478" max="9478" width="9.5703125" style="84" customWidth="1"/>
    <col min="9479" max="9479" width="10.28515625" style="84" customWidth="1"/>
    <col min="9480" max="9482" width="9" style="84"/>
    <col min="9483" max="9483" width="21.140625" style="84" customWidth="1"/>
    <col min="9484" max="9484" width="0" style="84" hidden="1" customWidth="1"/>
    <col min="9485" max="9485" width="16.28515625" style="84" customWidth="1"/>
    <col min="9486" max="9486" width="14.85546875" style="84" customWidth="1"/>
    <col min="9487" max="9487" width="14.5703125" style="84" customWidth="1"/>
    <col min="9488" max="9488" width="16.140625" style="84" customWidth="1"/>
    <col min="9489" max="9489" width="17.85546875" style="84" customWidth="1"/>
    <col min="9490" max="9490" width="8.85546875" style="84" customWidth="1"/>
    <col min="9491" max="9491" width="6" style="84" customWidth="1"/>
    <col min="9492" max="9492" width="8.85546875" style="84" customWidth="1"/>
    <col min="9493" max="9493" width="9" style="84"/>
    <col min="9494" max="9494" width="10.5703125" style="84" bestFit="1" customWidth="1"/>
    <col min="9495" max="9729" width="9" style="84"/>
    <col min="9730" max="9730" width="17.5703125" style="84" customWidth="1"/>
    <col min="9731" max="9731" width="10.28515625" style="84" customWidth="1"/>
    <col min="9732" max="9732" width="10.42578125" style="84" customWidth="1"/>
    <col min="9733" max="9733" width="10.140625" style="84" customWidth="1"/>
    <col min="9734" max="9734" width="9.5703125" style="84" customWidth="1"/>
    <col min="9735" max="9735" width="10.28515625" style="84" customWidth="1"/>
    <col min="9736" max="9738" width="9" style="84"/>
    <col min="9739" max="9739" width="21.140625" style="84" customWidth="1"/>
    <col min="9740" max="9740" width="0" style="84" hidden="1" customWidth="1"/>
    <col min="9741" max="9741" width="16.28515625" style="84" customWidth="1"/>
    <col min="9742" max="9742" width="14.85546875" style="84" customWidth="1"/>
    <col min="9743" max="9743" width="14.5703125" style="84" customWidth="1"/>
    <col min="9744" max="9744" width="16.140625" style="84" customWidth="1"/>
    <col min="9745" max="9745" width="17.85546875" style="84" customWidth="1"/>
    <col min="9746" max="9746" width="8.85546875" style="84" customWidth="1"/>
    <col min="9747" max="9747" width="6" style="84" customWidth="1"/>
    <col min="9748" max="9748" width="8.85546875" style="84" customWidth="1"/>
    <col min="9749" max="9749" width="9" style="84"/>
    <col min="9750" max="9750" width="10.5703125" style="84" bestFit="1" customWidth="1"/>
    <col min="9751" max="9985" width="9" style="84"/>
    <col min="9986" max="9986" width="17.5703125" style="84" customWidth="1"/>
    <col min="9987" max="9987" width="10.28515625" style="84" customWidth="1"/>
    <col min="9988" max="9988" width="10.42578125" style="84" customWidth="1"/>
    <col min="9989" max="9989" width="10.140625" style="84" customWidth="1"/>
    <col min="9990" max="9990" width="9.5703125" style="84" customWidth="1"/>
    <col min="9991" max="9991" width="10.28515625" style="84" customWidth="1"/>
    <col min="9992" max="9994" width="9" style="84"/>
    <col min="9995" max="9995" width="21.140625" style="84" customWidth="1"/>
    <col min="9996" max="9996" width="0" style="84" hidden="1" customWidth="1"/>
    <col min="9997" max="9997" width="16.28515625" style="84" customWidth="1"/>
    <col min="9998" max="9998" width="14.85546875" style="84" customWidth="1"/>
    <col min="9999" max="9999" width="14.5703125" style="84" customWidth="1"/>
    <col min="10000" max="10000" width="16.140625" style="84" customWidth="1"/>
    <col min="10001" max="10001" width="17.85546875" style="84" customWidth="1"/>
    <col min="10002" max="10002" width="8.85546875" style="84" customWidth="1"/>
    <col min="10003" max="10003" width="6" style="84" customWidth="1"/>
    <col min="10004" max="10004" width="8.85546875" style="84" customWidth="1"/>
    <col min="10005" max="10005" width="9" style="84"/>
    <col min="10006" max="10006" width="10.5703125" style="84" bestFit="1" customWidth="1"/>
    <col min="10007" max="10241" width="9" style="84"/>
    <col min="10242" max="10242" width="17.5703125" style="84" customWidth="1"/>
    <col min="10243" max="10243" width="10.28515625" style="84" customWidth="1"/>
    <col min="10244" max="10244" width="10.42578125" style="84" customWidth="1"/>
    <col min="10245" max="10245" width="10.140625" style="84" customWidth="1"/>
    <col min="10246" max="10246" width="9.5703125" style="84" customWidth="1"/>
    <col min="10247" max="10247" width="10.28515625" style="84" customWidth="1"/>
    <col min="10248" max="10250" width="9" style="84"/>
    <col min="10251" max="10251" width="21.140625" style="84" customWidth="1"/>
    <col min="10252" max="10252" width="0" style="84" hidden="1" customWidth="1"/>
    <col min="10253" max="10253" width="16.28515625" style="84" customWidth="1"/>
    <col min="10254" max="10254" width="14.85546875" style="84" customWidth="1"/>
    <col min="10255" max="10255" width="14.5703125" style="84" customWidth="1"/>
    <col min="10256" max="10256" width="16.140625" style="84" customWidth="1"/>
    <col min="10257" max="10257" width="17.85546875" style="84" customWidth="1"/>
    <col min="10258" max="10258" width="8.85546875" style="84" customWidth="1"/>
    <col min="10259" max="10259" width="6" style="84" customWidth="1"/>
    <col min="10260" max="10260" width="8.85546875" style="84" customWidth="1"/>
    <col min="10261" max="10261" width="9" style="84"/>
    <col min="10262" max="10262" width="10.5703125" style="84" bestFit="1" customWidth="1"/>
    <col min="10263" max="10497" width="9" style="84"/>
    <col min="10498" max="10498" width="17.5703125" style="84" customWidth="1"/>
    <col min="10499" max="10499" width="10.28515625" style="84" customWidth="1"/>
    <col min="10500" max="10500" width="10.42578125" style="84" customWidth="1"/>
    <col min="10501" max="10501" width="10.140625" style="84" customWidth="1"/>
    <col min="10502" max="10502" width="9.5703125" style="84" customWidth="1"/>
    <col min="10503" max="10503" width="10.28515625" style="84" customWidth="1"/>
    <col min="10504" max="10506" width="9" style="84"/>
    <col min="10507" max="10507" width="21.140625" style="84" customWidth="1"/>
    <col min="10508" max="10508" width="0" style="84" hidden="1" customWidth="1"/>
    <col min="10509" max="10509" width="16.28515625" style="84" customWidth="1"/>
    <col min="10510" max="10510" width="14.85546875" style="84" customWidth="1"/>
    <col min="10511" max="10511" width="14.5703125" style="84" customWidth="1"/>
    <col min="10512" max="10512" width="16.140625" style="84" customWidth="1"/>
    <col min="10513" max="10513" width="17.85546875" style="84" customWidth="1"/>
    <col min="10514" max="10514" width="8.85546875" style="84" customWidth="1"/>
    <col min="10515" max="10515" width="6" style="84" customWidth="1"/>
    <col min="10516" max="10516" width="8.85546875" style="84" customWidth="1"/>
    <col min="10517" max="10517" width="9" style="84"/>
    <col min="10518" max="10518" width="10.5703125" style="84" bestFit="1" customWidth="1"/>
    <col min="10519" max="10753" width="9" style="84"/>
    <col min="10754" max="10754" width="17.5703125" style="84" customWidth="1"/>
    <col min="10755" max="10755" width="10.28515625" style="84" customWidth="1"/>
    <col min="10756" max="10756" width="10.42578125" style="84" customWidth="1"/>
    <col min="10757" max="10757" width="10.140625" style="84" customWidth="1"/>
    <col min="10758" max="10758" width="9.5703125" style="84" customWidth="1"/>
    <col min="10759" max="10759" width="10.28515625" style="84" customWidth="1"/>
    <col min="10760" max="10762" width="9" style="84"/>
    <col min="10763" max="10763" width="21.140625" style="84" customWidth="1"/>
    <col min="10764" max="10764" width="0" style="84" hidden="1" customWidth="1"/>
    <col min="10765" max="10765" width="16.28515625" style="84" customWidth="1"/>
    <col min="10766" max="10766" width="14.85546875" style="84" customWidth="1"/>
    <col min="10767" max="10767" width="14.5703125" style="84" customWidth="1"/>
    <col min="10768" max="10768" width="16.140625" style="84" customWidth="1"/>
    <col min="10769" max="10769" width="17.85546875" style="84" customWidth="1"/>
    <col min="10770" max="10770" width="8.85546875" style="84" customWidth="1"/>
    <col min="10771" max="10771" width="6" style="84" customWidth="1"/>
    <col min="10772" max="10772" width="8.85546875" style="84" customWidth="1"/>
    <col min="10773" max="10773" width="9" style="84"/>
    <col min="10774" max="10774" width="10.5703125" style="84" bestFit="1" customWidth="1"/>
    <col min="10775" max="11009" width="9" style="84"/>
    <col min="11010" max="11010" width="17.5703125" style="84" customWidth="1"/>
    <col min="11011" max="11011" width="10.28515625" style="84" customWidth="1"/>
    <col min="11012" max="11012" width="10.42578125" style="84" customWidth="1"/>
    <col min="11013" max="11013" width="10.140625" style="84" customWidth="1"/>
    <col min="11014" max="11014" width="9.5703125" style="84" customWidth="1"/>
    <col min="11015" max="11015" width="10.28515625" style="84" customWidth="1"/>
    <col min="11016" max="11018" width="9" style="84"/>
    <col min="11019" max="11019" width="21.140625" style="84" customWidth="1"/>
    <col min="11020" max="11020" width="0" style="84" hidden="1" customWidth="1"/>
    <col min="11021" max="11021" width="16.28515625" style="84" customWidth="1"/>
    <col min="11022" max="11022" width="14.85546875" style="84" customWidth="1"/>
    <col min="11023" max="11023" width="14.5703125" style="84" customWidth="1"/>
    <col min="11024" max="11024" width="16.140625" style="84" customWidth="1"/>
    <col min="11025" max="11025" width="17.85546875" style="84" customWidth="1"/>
    <col min="11026" max="11026" width="8.85546875" style="84" customWidth="1"/>
    <col min="11027" max="11027" width="6" style="84" customWidth="1"/>
    <col min="11028" max="11028" width="8.85546875" style="84" customWidth="1"/>
    <col min="11029" max="11029" width="9" style="84"/>
    <col min="11030" max="11030" width="10.5703125" style="84" bestFit="1" customWidth="1"/>
    <col min="11031" max="11265" width="9" style="84"/>
    <col min="11266" max="11266" width="17.5703125" style="84" customWidth="1"/>
    <col min="11267" max="11267" width="10.28515625" style="84" customWidth="1"/>
    <col min="11268" max="11268" width="10.42578125" style="84" customWidth="1"/>
    <col min="11269" max="11269" width="10.140625" style="84" customWidth="1"/>
    <col min="11270" max="11270" width="9.5703125" style="84" customWidth="1"/>
    <col min="11271" max="11271" width="10.28515625" style="84" customWidth="1"/>
    <col min="11272" max="11274" width="9" style="84"/>
    <col min="11275" max="11275" width="21.140625" style="84" customWidth="1"/>
    <col min="11276" max="11276" width="0" style="84" hidden="1" customWidth="1"/>
    <col min="11277" max="11277" width="16.28515625" style="84" customWidth="1"/>
    <col min="11278" max="11278" width="14.85546875" style="84" customWidth="1"/>
    <col min="11279" max="11279" width="14.5703125" style="84" customWidth="1"/>
    <col min="11280" max="11280" width="16.140625" style="84" customWidth="1"/>
    <col min="11281" max="11281" width="17.85546875" style="84" customWidth="1"/>
    <col min="11282" max="11282" width="8.85546875" style="84" customWidth="1"/>
    <col min="11283" max="11283" width="6" style="84" customWidth="1"/>
    <col min="11284" max="11284" width="8.85546875" style="84" customWidth="1"/>
    <col min="11285" max="11285" width="9" style="84"/>
    <col min="11286" max="11286" width="10.5703125" style="84" bestFit="1" customWidth="1"/>
    <col min="11287" max="11521" width="9" style="84"/>
    <col min="11522" max="11522" width="17.5703125" style="84" customWidth="1"/>
    <col min="11523" max="11523" width="10.28515625" style="84" customWidth="1"/>
    <col min="11524" max="11524" width="10.42578125" style="84" customWidth="1"/>
    <col min="11525" max="11525" width="10.140625" style="84" customWidth="1"/>
    <col min="11526" max="11526" width="9.5703125" style="84" customWidth="1"/>
    <col min="11527" max="11527" width="10.28515625" style="84" customWidth="1"/>
    <col min="11528" max="11530" width="9" style="84"/>
    <col min="11531" max="11531" width="21.140625" style="84" customWidth="1"/>
    <col min="11532" max="11532" width="0" style="84" hidden="1" customWidth="1"/>
    <col min="11533" max="11533" width="16.28515625" style="84" customWidth="1"/>
    <col min="11534" max="11534" width="14.85546875" style="84" customWidth="1"/>
    <col min="11535" max="11535" width="14.5703125" style="84" customWidth="1"/>
    <col min="11536" max="11536" width="16.140625" style="84" customWidth="1"/>
    <col min="11537" max="11537" width="17.85546875" style="84" customWidth="1"/>
    <col min="11538" max="11538" width="8.85546875" style="84" customWidth="1"/>
    <col min="11539" max="11539" width="6" style="84" customWidth="1"/>
    <col min="11540" max="11540" width="8.85546875" style="84" customWidth="1"/>
    <col min="11541" max="11541" width="9" style="84"/>
    <col min="11542" max="11542" width="10.5703125" style="84" bestFit="1" customWidth="1"/>
    <col min="11543" max="11777" width="9" style="84"/>
    <col min="11778" max="11778" width="17.5703125" style="84" customWidth="1"/>
    <col min="11779" max="11779" width="10.28515625" style="84" customWidth="1"/>
    <col min="11780" max="11780" width="10.42578125" style="84" customWidth="1"/>
    <col min="11781" max="11781" width="10.140625" style="84" customWidth="1"/>
    <col min="11782" max="11782" width="9.5703125" style="84" customWidth="1"/>
    <col min="11783" max="11783" width="10.28515625" style="84" customWidth="1"/>
    <col min="11784" max="11786" width="9" style="84"/>
    <col min="11787" max="11787" width="21.140625" style="84" customWidth="1"/>
    <col min="11788" max="11788" width="0" style="84" hidden="1" customWidth="1"/>
    <col min="11789" max="11789" width="16.28515625" style="84" customWidth="1"/>
    <col min="11790" max="11790" width="14.85546875" style="84" customWidth="1"/>
    <col min="11791" max="11791" width="14.5703125" style="84" customWidth="1"/>
    <col min="11792" max="11792" width="16.140625" style="84" customWidth="1"/>
    <col min="11793" max="11793" width="17.85546875" style="84" customWidth="1"/>
    <col min="11794" max="11794" width="8.85546875" style="84" customWidth="1"/>
    <col min="11795" max="11795" width="6" style="84" customWidth="1"/>
    <col min="11796" max="11796" width="8.85546875" style="84" customWidth="1"/>
    <col min="11797" max="11797" width="9" style="84"/>
    <col min="11798" max="11798" width="10.5703125" style="84" bestFit="1" customWidth="1"/>
    <col min="11799" max="12033" width="9" style="84"/>
    <col min="12034" max="12034" width="17.5703125" style="84" customWidth="1"/>
    <col min="12035" max="12035" width="10.28515625" style="84" customWidth="1"/>
    <col min="12036" max="12036" width="10.42578125" style="84" customWidth="1"/>
    <col min="12037" max="12037" width="10.140625" style="84" customWidth="1"/>
    <col min="12038" max="12038" width="9.5703125" style="84" customWidth="1"/>
    <col min="12039" max="12039" width="10.28515625" style="84" customWidth="1"/>
    <col min="12040" max="12042" width="9" style="84"/>
    <col min="12043" max="12043" width="21.140625" style="84" customWidth="1"/>
    <col min="12044" max="12044" width="0" style="84" hidden="1" customWidth="1"/>
    <col min="12045" max="12045" width="16.28515625" style="84" customWidth="1"/>
    <col min="12046" max="12046" width="14.85546875" style="84" customWidth="1"/>
    <col min="12047" max="12047" width="14.5703125" style="84" customWidth="1"/>
    <col min="12048" max="12048" width="16.140625" style="84" customWidth="1"/>
    <col min="12049" max="12049" width="17.85546875" style="84" customWidth="1"/>
    <col min="12050" max="12050" width="8.85546875" style="84" customWidth="1"/>
    <col min="12051" max="12051" width="6" style="84" customWidth="1"/>
    <col min="12052" max="12052" width="8.85546875" style="84" customWidth="1"/>
    <col min="12053" max="12053" width="9" style="84"/>
    <col min="12054" max="12054" width="10.5703125" style="84" bestFit="1" customWidth="1"/>
    <col min="12055" max="12289" width="9" style="84"/>
    <col min="12290" max="12290" width="17.5703125" style="84" customWidth="1"/>
    <col min="12291" max="12291" width="10.28515625" style="84" customWidth="1"/>
    <col min="12292" max="12292" width="10.42578125" style="84" customWidth="1"/>
    <col min="12293" max="12293" width="10.140625" style="84" customWidth="1"/>
    <col min="12294" max="12294" width="9.5703125" style="84" customWidth="1"/>
    <col min="12295" max="12295" width="10.28515625" style="84" customWidth="1"/>
    <col min="12296" max="12298" width="9" style="84"/>
    <col min="12299" max="12299" width="21.140625" style="84" customWidth="1"/>
    <col min="12300" max="12300" width="0" style="84" hidden="1" customWidth="1"/>
    <col min="12301" max="12301" width="16.28515625" style="84" customWidth="1"/>
    <col min="12302" max="12302" width="14.85546875" style="84" customWidth="1"/>
    <col min="12303" max="12303" width="14.5703125" style="84" customWidth="1"/>
    <col min="12304" max="12304" width="16.140625" style="84" customWidth="1"/>
    <col min="12305" max="12305" width="17.85546875" style="84" customWidth="1"/>
    <col min="12306" max="12306" width="8.85546875" style="84" customWidth="1"/>
    <col min="12307" max="12307" width="6" style="84" customWidth="1"/>
    <col min="12308" max="12308" width="8.85546875" style="84" customWidth="1"/>
    <col min="12309" max="12309" width="9" style="84"/>
    <col min="12310" max="12310" width="10.5703125" style="84" bestFit="1" customWidth="1"/>
    <col min="12311" max="12545" width="9" style="84"/>
    <col min="12546" max="12546" width="17.5703125" style="84" customWidth="1"/>
    <col min="12547" max="12547" width="10.28515625" style="84" customWidth="1"/>
    <col min="12548" max="12548" width="10.42578125" style="84" customWidth="1"/>
    <col min="12549" max="12549" width="10.140625" style="84" customWidth="1"/>
    <col min="12550" max="12550" width="9.5703125" style="84" customWidth="1"/>
    <col min="12551" max="12551" width="10.28515625" style="84" customWidth="1"/>
    <col min="12552" max="12554" width="9" style="84"/>
    <col min="12555" max="12555" width="21.140625" style="84" customWidth="1"/>
    <col min="12556" max="12556" width="0" style="84" hidden="1" customWidth="1"/>
    <col min="12557" max="12557" width="16.28515625" style="84" customWidth="1"/>
    <col min="12558" max="12558" width="14.85546875" style="84" customWidth="1"/>
    <col min="12559" max="12559" width="14.5703125" style="84" customWidth="1"/>
    <col min="12560" max="12560" width="16.140625" style="84" customWidth="1"/>
    <col min="12561" max="12561" width="17.85546875" style="84" customWidth="1"/>
    <col min="12562" max="12562" width="8.85546875" style="84" customWidth="1"/>
    <col min="12563" max="12563" width="6" style="84" customWidth="1"/>
    <col min="12564" max="12564" width="8.85546875" style="84" customWidth="1"/>
    <col min="12565" max="12565" width="9" style="84"/>
    <col min="12566" max="12566" width="10.5703125" style="84" bestFit="1" customWidth="1"/>
    <col min="12567" max="12801" width="9" style="84"/>
    <col min="12802" max="12802" width="17.5703125" style="84" customWidth="1"/>
    <col min="12803" max="12803" width="10.28515625" style="84" customWidth="1"/>
    <col min="12804" max="12804" width="10.42578125" style="84" customWidth="1"/>
    <col min="12805" max="12805" width="10.140625" style="84" customWidth="1"/>
    <col min="12806" max="12806" width="9.5703125" style="84" customWidth="1"/>
    <col min="12807" max="12807" width="10.28515625" style="84" customWidth="1"/>
    <col min="12808" max="12810" width="9" style="84"/>
    <col min="12811" max="12811" width="21.140625" style="84" customWidth="1"/>
    <col min="12812" max="12812" width="0" style="84" hidden="1" customWidth="1"/>
    <col min="12813" max="12813" width="16.28515625" style="84" customWidth="1"/>
    <col min="12814" max="12814" width="14.85546875" style="84" customWidth="1"/>
    <col min="12815" max="12815" width="14.5703125" style="84" customWidth="1"/>
    <col min="12816" max="12816" width="16.140625" style="84" customWidth="1"/>
    <col min="12817" max="12817" width="17.85546875" style="84" customWidth="1"/>
    <col min="12818" max="12818" width="8.85546875" style="84" customWidth="1"/>
    <col min="12819" max="12819" width="6" style="84" customWidth="1"/>
    <col min="12820" max="12820" width="8.85546875" style="84" customWidth="1"/>
    <col min="12821" max="12821" width="9" style="84"/>
    <col min="12822" max="12822" width="10.5703125" style="84" bestFit="1" customWidth="1"/>
    <col min="12823" max="13057" width="9" style="84"/>
    <col min="13058" max="13058" width="17.5703125" style="84" customWidth="1"/>
    <col min="13059" max="13059" width="10.28515625" style="84" customWidth="1"/>
    <col min="13060" max="13060" width="10.42578125" style="84" customWidth="1"/>
    <col min="13061" max="13061" width="10.140625" style="84" customWidth="1"/>
    <col min="13062" max="13062" width="9.5703125" style="84" customWidth="1"/>
    <col min="13063" max="13063" width="10.28515625" style="84" customWidth="1"/>
    <col min="13064" max="13066" width="9" style="84"/>
    <col min="13067" max="13067" width="21.140625" style="84" customWidth="1"/>
    <col min="13068" max="13068" width="0" style="84" hidden="1" customWidth="1"/>
    <col min="13069" max="13069" width="16.28515625" style="84" customWidth="1"/>
    <col min="13070" max="13070" width="14.85546875" style="84" customWidth="1"/>
    <col min="13071" max="13071" width="14.5703125" style="84" customWidth="1"/>
    <col min="13072" max="13072" width="16.140625" style="84" customWidth="1"/>
    <col min="13073" max="13073" width="17.85546875" style="84" customWidth="1"/>
    <col min="13074" max="13074" width="8.85546875" style="84" customWidth="1"/>
    <col min="13075" max="13075" width="6" style="84" customWidth="1"/>
    <col min="13076" max="13076" width="8.85546875" style="84" customWidth="1"/>
    <col min="13077" max="13077" width="9" style="84"/>
    <col min="13078" max="13078" width="10.5703125" style="84" bestFit="1" customWidth="1"/>
    <col min="13079" max="13313" width="9" style="84"/>
    <col min="13314" max="13314" width="17.5703125" style="84" customWidth="1"/>
    <col min="13315" max="13315" width="10.28515625" style="84" customWidth="1"/>
    <col min="13316" max="13316" width="10.42578125" style="84" customWidth="1"/>
    <col min="13317" max="13317" width="10.140625" style="84" customWidth="1"/>
    <col min="13318" max="13318" width="9.5703125" style="84" customWidth="1"/>
    <col min="13319" max="13319" width="10.28515625" style="84" customWidth="1"/>
    <col min="13320" max="13322" width="9" style="84"/>
    <col min="13323" max="13323" width="21.140625" style="84" customWidth="1"/>
    <col min="13324" max="13324" width="0" style="84" hidden="1" customWidth="1"/>
    <col min="13325" max="13325" width="16.28515625" style="84" customWidth="1"/>
    <col min="13326" max="13326" width="14.85546875" style="84" customWidth="1"/>
    <col min="13327" max="13327" width="14.5703125" style="84" customWidth="1"/>
    <col min="13328" max="13328" width="16.140625" style="84" customWidth="1"/>
    <col min="13329" max="13329" width="17.85546875" style="84" customWidth="1"/>
    <col min="13330" max="13330" width="8.85546875" style="84" customWidth="1"/>
    <col min="13331" max="13331" width="6" style="84" customWidth="1"/>
    <col min="13332" max="13332" width="8.85546875" style="84" customWidth="1"/>
    <col min="13333" max="13333" width="9" style="84"/>
    <col min="13334" max="13334" width="10.5703125" style="84" bestFit="1" customWidth="1"/>
    <col min="13335" max="13569" width="9" style="84"/>
    <col min="13570" max="13570" width="17.5703125" style="84" customWidth="1"/>
    <col min="13571" max="13571" width="10.28515625" style="84" customWidth="1"/>
    <col min="13572" max="13572" width="10.42578125" style="84" customWidth="1"/>
    <col min="13573" max="13573" width="10.140625" style="84" customWidth="1"/>
    <col min="13574" max="13574" width="9.5703125" style="84" customWidth="1"/>
    <col min="13575" max="13575" width="10.28515625" style="84" customWidth="1"/>
    <col min="13576" max="13578" width="9" style="84"/>
    <col min="13579" max="13579" width="21.140625" style="84" customWidth="1"/>
    <col min="13580" max="13580" width="0" style="84" hidden="1" customWidth="1"/>
    <col min="13581" max="13581" width="16.28515625" style="84" customWidth="1"/>
    <col min="13582" max="13582" width="14.85546875" style="84" customWidth="1"/>
    <col min="13583" max="13583" width="14.5703125" style="84" customWidth="1"/>
    <col min="13584" max="13584" width="16.140625" style="84" customWidth="1"/>
    <col min="13585" max="13585" width="17.85546875" style="84" customWidth="1"/>
    <col min="13586" max="13586" width="8.85546875" style="84" customWidth="1"/>
    <col min="13587" max="13587" width="6" style="84" customWidth="1"/>
    <col min="13588" max="13588" width="8.85546875" style="84" customWidth="1"/>
    <col min="13589" max="13589" width="9" style="84"/>
    <col min="13590" max="13590" width="10.5703125" style="84" bestFit="1" customWidth="1"/>
    <col min="13591" max="13825" width="9" style="84"/>
    <col min="13826" max="13826" width="17.5703125" style="84" customWidth="1"/>
    <col min="13827" max="13827" width="10.28515625" style="84" customWidth="1"/>
    <col min="13828" max="13828" width="10.42578125" style="84" customWidth="1"/>
    <col min="13829" max="13829" width="10.140625" style="84" customWidth="1"/>
    <col min="13830" max="13830" width="9.5703125" style="84" customWidth="1"/>
    <col min="13831" max="13831" width="10.28515625" style="84" customWidth="1"/>
    <col min="13832" max="13834" width="9" style="84"/>
    <col min="13835" max="13835" width="21.140625" style="84" customWidth="1"/>
    <col min="13836" max="13836" width="0" style="84" hidden="1" customWidth="1"/>
    <col min="13837" max="13837" width="16.28515625" style="84" customWidth="1"/>
    <col min="13838" max="13838" width="14.85546875" style="84" customWidth="1"/>
    <col min="13839" max="13839" width="14.5703125" style="84" customWidth="1"/>
    <col min="13840" max="13840" width="16.140625" style="84" customWidth="1"/>
    <col min="13841" max="13841" width="17.85546875" style="84" customWidth="1"/>
    <col min="13842" max="13842" width="8.85546875" style="84" customWidth="1"/>
    <col min="13843" max="13843" width="6" style="84" customWidth="1"/>
    <col min="13844" max="13844" width="8.85546875" style="84" customWidth="1"/>
    <col min="13845" max="13845" width="9" style="84"/>
    <col min="13846" max="13846" width="10.5703125" style="84" bestFit="1" customWidth="1"/>
    <col min="13847" max="14081" width="9" style="84"/>
    <col min="14082" max="14082" width="17.5703125" style="84" customWidth="1"/>
    <col min="14083" max="14083" width="10.28515625" style="84" customWidth="1"/>
    <col min="14084" max="14084" width="10.42578125" style="84" customWidth="1"/>
    <col min="14085" max="14085" width="10.140625" style="84" customWidth="1"/>
    <col min="14086" max="14086" width="9.5703125" style="84" customWidth="1"/>
    <col min="14087" max="14087" width="10.28515625" style="84" customWidth="1"/>
    <col min="14088" max="14090" width="9" style="84"/>
    <col min="14091" max="14091" width="21.140625" style="84" customWidth="1"/>
    <col min="14092" max="14092" width="0" style="84" hidden="1" customWidth="1"/>
    <col min="14093" max="14093" width="16.28515625" style="84" customWidth="1"/>
    <col min="14094" max="14094" width="14.85546875" style="84" customWidth="1"/>
    <col min="14095" max="14095" width="14.5703125" style="84" customWidth="1"/>
    <col min="14096" max="14096" width="16.140625" style="84" customWidth="1"/>
    <col min="14097" max="14097" width="17.85546875" style="84" customWidth="1"/>
    <col min="14098" max="14098" width="8.85546875" style="84" customWidth="1"/>
    <col min="14099" max="14099" width="6" style="84" customWidth="1"/>
    <col min="14100" max="14100" width="8.85546875" style="84" customWidth="1"/>
    <col min="14101" max="14101" width="9" style="84"/>
    <col min="14102" max="14102" width="10.5703125" style="84" bestFit="1" customWidth="1"/>
    <col min="14103" max="14337" width="9" style="84"/>
    <col min="14338" max="14338" width="17.5703125" style="84" customWidth="1"/>
    <col min="14339" max="14339" width="10.28515625" style="84" customWidth="1"/>
    <col min="14340" max="14340" width="10.42578125" style="84" customWidth="1"/>
    <col min="14341" max="14341" width="10.140625" style="84" customWidth="1"/>
    <col min="14342" max="14342" width="9.5703125" style="84" customWidth="1"/>
    <col min="14343" max="14343" width="10.28515625" style="84" customWidth="1"/>
    <col min="14344" max="14346" width="9" style="84"/>
    <col min="14347" max="14347" width="21.140625" style="84" customWidth="1"/>
    <col min="14348" max="14348" width="0" style="84" hidden="1" customWidth="1"/>
    <col min="14349" max="14349" width="16.28515625" style="84" customWidth="1"/>
    <col min="14350" max="14350" width="14.85546875" style="84" customWidth="1"/>
    <col min="14351" max="14351" width="14.5703125" style="84" customWidth="1"/>
    <col min="14352" max="14352" width="16.140625" style="84" customWidth="1"/>
    <col min="14353" max="14353" width="17.85546875" style="84" customWidth="1"/>
    <col min="14354" max="14354" width="8.85546875" style="84" customWidth="1"/>
    <col min="14355" max="14355" width="6" style="84" customWidth="1"/>
    <col min="14356" max="14356" width="8.85546875" style="84" customWidth="1"/>
    <col min="14357" max="14357" width="9" style="84"/>
    <col min="14358" max="14358" width="10.5703125" style="84" bestFit="1" customWidth="1"/>
    <col min="14359" max="14593" width="9" style="84"/>
    <col min="14594" max="14594" width="17.5703125" style="84" customWidth="1"/>
    <col min="14595" max="14595" width="10.28515625" style="84" customWidth="1"/>
    <col min="14596" max="14596" width="10.42578125" style="84" customWidth="1"/>
    <col min="14597" max="14597" width="10.140625" style="84" customWidth="1"/>
    <col min="14598" max="14598" width="9.5703125" style="84" customWidth="1"/>
    <col min="14599" max="14599" width="10.28515625" style="84" customWidth="1"/>
    <col min="14600" max="14602" width="9" style="84"/>
    <col min="14603" max="14603" width="21.140625" style="84" customWidth="1"/>
    <col min="14604" max="14604" width="0" style="84" hidden="1" customWidth="1"/>
    <col min="14605" max="14605" width="16.28515625" style="84" customWidth="1"/>
    <col min="14606" max="14606" width="14.85546875" style="84" customWidth="1"/>
    <col min="14607" max="14607" width="14.5703125" style="84" customWidth="1"/>
    <col min="14608" max="14608" width="16.140625" style="84" customWidth="1"/>
    <col min="14609" max="14609" width="17.85546875" style="84" customWidth="1"/>
    <col min="14610" max="14610" width="8.85546875" style="84" customWidth="1"/>
    <col min="14611" max="14611" width="6" style="84" customWidth="1"/>
    <col min="14612" max="14612" width="8.85546875" style="84" customWidth="1"/>
    <col min="14613" max="14613" width="9" style="84"/>
    <col min="14614" max="14614" width="10.5703125" style="84" bestFit="1" customWidth="1"/>
    <col min="14615" max="14849" width="9" style="84"/>
    <col min="14850" max="14850" width="17.5703125" style="84" customWidth="1"/>
    <col min="14851" max="14851" width="10.28515625" style="84" customWidth="1"/>
    <col min="14852" max="14852" width="10.42578125" style="84" customWidth="1"/>
    <col min="14853" max="14853" width="10.140625" style="84" customWidth="1"/>
    <col min="14854" max="14854" width="9.5703125" style="84" customWidth="1"/>
    <col min="14855" max="14855" width="10.28515625" style="84" customWidth="1"/>
    <col min="14856" max="14858" width="9" style="84"/>
    <col min="14859" max="14859" width="21.140625" style="84" customWidth="1"/>
    <col min="14860" max="14860" width="0" style="84" hidden="1" customWidth="1"/>
    <col min="14861" max="14861" width="16.28515625" style="84" customWidth="1"/>
    <col min="14862" max="14862" width="14.85546875" style="84" customWidth="1"/>
    <col min="14863" max="14863" width="14.5703125" style="84" customWidth="1"/>
    <col min="14864" max="14864" width="16.140625" style="84" customWidth="1"/>
    <col min="14865" max="14865" width="17.85546875" style="84" customWidth="1"/>
    <col min="14866" max="14866" width="8.85546875" style="84" customWidth="1"/>
    <col min="14867" max="14867" width="6" style="84" customWidth="1"/>
    <col min="14868" max="14868" width="8.85546875" style="84" customWidth="1"/>
    <col min="14869" max="14869" width="9" style="84"/>
    <col min="14870" max="14870" width="10.5703125" style="84" bestFit="1" customWidth="1"/>
    <col min="14871" max="15105" width="9" style="84"/>
    <col min="15106" max="15106" width="17.5703125" style="84" customWidth="1"/>
    <col min="15107" max="15107" width="10.28515625" style="84" customWidth="1"/>
    <col min="15108" max="15108" width="10.42578125" style="84" customWidth="1"/>
    <col min="15109" max="15109" width="10.140625" style="84" customWidth="1"/>
    <col min="15110" max="15110" width="9.5703125" style="84" customWidth="1"/>
    <col min="15111" max="15111" width="10.28515625" style="84" customWidth="1"/>
    <col min="15112" max="15114" width="9" style="84"/>
    <col min="15115" max="15115" width="21.140625" style="84" customWidth="1"/>
    <col min="15116" max="15116" width="0" style="84" hidden="1" customWidth="1"/>
    <col min="15117" max="15117" width="16.28515625" style="84" customWidth="1"/>
    <col min="15118" max="15118" width="14.85546875" style="84" customWidth="1"/>
    <col min="15119" max="15119" width="14.5703125" style="84" customWidth="1"/>
    <col min="15120" max="15120" width="16.140625" style="84" customWidth="1"/>
    <col min="15121" max="15121" width="17.85546875" style="84" customWidth="1"/>
    <col min="15122" max="15122" width="8.85546875" style="84" customWidth="1"/>
    <col min="15123" max="15123" width="6" style="84" customWidth="1"/>
    <col min="15124" max="15124" width="8.85546875" style="84" customWidth="1"/>
    <col min="15125" max="15125" width="9" style="84"/>
    <col min="15126" max="15126" width="10.5703125" style="84" bestFit="1" customWidth="1"/>
    <col min="15127" max="15361" width="9" style="84"/>
    <col min="15362" max="15362" width="17.5703125" style="84" customWidth="1"/>
    <col min="15363" max="15363" width="10.28515625" style="84" customWidth="1"/>
    <col min="15364" max="15364" width="10.42578125" style="84" customWidth="1"/>
    <col min="15365" max="15365" width="10.140625" style="84" customWidth="1"/>
    <col min="15366" max="15366" width="9.5703125" style="84" customWidth="1"/>
    <col min="15367" max="15367" width="10.28515625" style="84" customWidth="1"/>
    <col min="15368" max="15370" width="9" style="84"/>
    <col min="15371" max="15371" width="21.140625" style="84" customWidth="1"/>
    <col min="15372" max="15372" width="0" style="84" hidden="1" customWidth="1"/>
    <col min="15373" max="15373" width="16.28515625" style="84" customWidth="1"/>
    <col min="15374" max="15374" width="14.85546875" style="84" customWidth="1"/>
    <col min="15375" max="15375" width="14.5703125" style="84" customWidth="1"/>
    <col min="15376" max="15376" width="16.140625" style="84" customWidth="1"/>
    <col min="15377" max="15377" width="17.85546875" style="84" customWidth="1"/>
    <col min="15378" max="15378" width="8.85546875" style="84" customWidth="1"/>
    <col min="15379" max="15379" width="6" style="84" customWidth="1"/>
    <col min="15380" max="15380" width="8.85546875" style="84" customWidth="1"/>
    <col min="15381" max="15381" width="9" style="84"/>
    <col min="15382" max="15382" width="10.5703125" style="84" bestFit="1" customWidth="1"/>
    <col min="15383" max="15617" width="9" style="84"/>
    <col min="15618" max="15618" width="17.5703125" style="84" customWidth="1"/>
    <col min="15619" max="15619" width="10.28515625" style="84" customWidth="1"/>
    <col min="15620" max="15620" width="10.42578125" style="84" customWidth="1"/>
    <col min="15621" max="15621" width="10.140625" style="84" customWidth="1"/>
    <col min="15622" max="15622" width="9.5703125" style="84" customWidth="1"/>
    <col min="15623" max="15623" width="10.28515625" style="84" customWidth="1"/>
    <col min="15624" max="15626" width="9" style="84"/>
    <col min="15627" max="15627" width="21.140625" style="84" customWidth="1"/>
    <col min="15628" max="15628" width="0" style="84" hidden="1" customWidth="1"/>
    <col min="15629" max="15629" width="16.28515625" style="84" customWidth="1"/>
    <col min="15630" max="15630" width="14.85546875" style="84" customWidth="1"/>
    <col min="15631" max="15631" width="14.5703125" style="84" customWidth="1"/>
    <col min="15632" max="15632" width="16.140625" style="84" customWidth="1"/>
    <col min="15633" max="15633" width="17.85546875" style="84" customWidth="1"/>
    <col min="15634" max="15634" width="8.85546875" style="84" customWidth="1"/>
    <col min="15635" max="15635" width="6" style="84" customWidth="1"/>
    <col min="15636" max="15636" width="8.85546875" style="84" customWidth="1"/>
    <col min="15637" max="15637" width="9" style="84"/>
    <col min="15638" max="15638" width="10.5703125" style="84" bestFit="1" customWidth="1"/>
    <col min="15639" max="15873" width="9" style="84"/>
    <col min="15874" max="15874" width="17.5703125" style="84" customWidth="1"/>
    <col min="15875" max="15875" width="10.28515625" style="84" customWidth="1"/>
    <col min="15876" max="15876" width="10.42578125" style="84" customWidth="1"/>
    <col min="15877" max="15877" width="10.140625" style="84" customWidth="1"/>
    <col min="15878" max="15878" width="9.5703125" style="84" customWidth="1"/>
    <col min="15879" max="15879" width="10.28515625" style="84" customWidth="1"/>
    <col min="15880" max="15882" width="9" style="84"/>
    <col min="15883" max="15883" width="21.140625" style="84" customWidth="1"/>
    <col min="15884" max="15884" width="0" style="84" hidden="1" customWidth="1"/>
    <col min="15885" max="15885" width="16.28515625" style="84" customWidth="1"/>
    <col min="15886" max="15886" width="14.85546875" style="84" customWidth="1"/>
    <col min="15887" max="15887" width="14.5703125" style="84" customWidth="1"/>
    <col min="15888" max="15888" width="16.140625" style="84" customWidth="1"/>
    <col min="15889" max="15889" width="17.85546875" style="84" customWidth="1"/>
    <col min="15890" max="15890" width="8.85546875" style="84" customWidth="1"/>
    <col min="15891" max="15891" width="6" style="84" customWidth="1"/>
    <col min="15892" max="15892" width="8.85546875" style="84" customWidth="1"/>
    <col min="15893" max="15893" width="9" style="84"/>
    <col min="15894" max="15894" width="10.5703125" style="84" bestFit="1" customWidth="1"/>
    <col min="15895" max="16129" width="9" style="84"/>
    <col min="16130" max="16130" width="17.5703125" style="84" customWidth="1"/>
    <col min="16131" max="16131" width="10.28515625" style="84" customWidth="1"/>
    <col min="16132" max="16132" width="10.42578125" style="84" customWidth="1"/>
    <col min="16133" max="16133" width="10.140625" style="84" customWidth="1"/>
    <col min="16134" max="16134" width="9.5703125" style="84" customWidth="1"/>
    <col min="16135" max="16135" width="10.28515625" style="84" customWidth="1"/>
    <col min="16136" max="16138" width="9" style="84"/>
    <col min="16139" max="16139" width="21.140625" style="84" customWidth="1"/>
    <col min="16140" max="16140" width="0" style="84" hidden="1" customWidth="1"/>
    <col min="16141" max="16141" width="16.28515625" style="84" customWidth="1"/>
    <col min="16142" max="16142" width="14.85546875" style="84" customWidth="1"/>
    <col min="16143" max="16143" width="14.5703125" style="84" customWidth="1"/>
    <col min="16144" max="16144" width="16.140625" style="84" customWidth="1"/>
    <col min="16145" max="16145" width="17.85546875" style="84" customWidth="1"/>
    <col min="16146" max="16146" width="8.85546875" style="84" customWidth="1"/>
    <col min="16147" max="16147" width="6" style="84" customWidth="1"/>
    <col min="16148" max="16148" width="8.85546875" style="84" customWidth="1"/>
    <col min="16149" max="16149" width="9" style="84"/>
    <col min="16150" max="16150" width="10.5703125" style="84" bestFit="1" customWidth="1"/>
    <col min="16151" max="16384" width="9" style="84"/>
  </cols>
  <sheetData>
    <row r="1" spans="1:24" x14ac:dyDescent="0.35">
      <c r="A1" s="618" t="s">
        <v>548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</row>
    <row r="2" spans="1:24" x14ac:dyDescent="0.35">
      <c r="A2" s="85" t="s">
        <v>546</v>
      </c>
      <c r="K2" s="85"/>
    </row>
    <row r="3" spans="1:24" x14ac:dyDescent="0.35">
      <c r="J3" s="85"/>
      <c r="T3" s="85"/>
      <c r="W3" s="396" t="s">
        <v>240</v>
      </c>
    </row>
    <row r="4" spans="1:24" s="85" customFormat="1" x14ac:dyDescent="0.35">
      <c r="A4" s="615" t="s">
        <v>262</v>
      </c>
      <c r="B4" s="616"/>
      <c r="C4" s="616"/>
      <c r="D4" s="616"/>
      <c r="E4" s="616"/>
      <c r="F4" s="616"/>
      <c r="G4" s="616"/>
      <c r="H4" s="616"/>
      <c r="I4" s="616"/>
      <c r="J4" s="617"/>
      <c r="K4" s="615" t="s">
        <v>339</v>
      </c>
      <c r="L4" s="616"/>
      <c r="M4" s="616"/>
      <c r="N4" s="616"/>
      <c r="O4" s="616"/>
      <c r="P4" s="616"/>
      <c r="Q4" s="616"/>
      <c r="R4" s="616"/>
      <c r="S4" s="616"/>
      <c r="T4" s="617"/>
      <c r="U4" s="615" t="s">
        <v>263</v>
      </c>
      <c r="V4" s="616"/>
      <c r="W4" s="617"/>
    </row>
    <row r="5" spans="1:24" ht="56.25" x14ac:dyDescent="0.35">
      <c r="A5" s="276" t="s">
        <v>256</v>
      </c>
      <c r="B5" s="277" t="s">
        <v>264</v>
      </c>
      <c r="C5" s="277" t="s">
        <v>264</v>
      </c>
      <c r="D5" s="277" t="s">
        <v>265</v>
      </c>
      <c r="E5" s="277" t="s">
        <v>0</v>
      </c>
      <c r="F5" s="277" t="s">
        <v>177</v>
      </c>
      <c r="G5" s="277" t="s">
        <v>178</v>
      </c>
      <c r="H5" s="278" t="s">
        <v>181</v>
      </c>
      <c r="I5" s="279" t="s">
        <v>182</v>
      </c>
      <c r="J5" s="278" t="s">
        <v>183</v>
      </c>
      <c r="K5" s="276" t="s">
        <v>256</v>
      </c>
      <c r="L5" s="277" t="s">
        <v>264</v>
      </c>
      <c r="M5" s="277" t="s">
        <v>264</v>
      </c>
      <c r="N5" s="277" t="s">
        <v>265</v>
      </c>
      <c r="O5" s="277" t="s">
        <v>0</v>
      </c>
      <c r="P5" s="277" t="s">
        <v>177</v>
      </c>
      <c r="Q5" s="277" t="s">
        <v>178</v>
      </c>
      <c r="R5" s="278" t="s">
        <v>181</v>
      </c>
      <c r="S5" s="279" t="s">
        <v>182</v>
      </c>
      <c r="T5" s="278" t="s">
        <v>183</v>
      </c>
      <c r="U5" s="280" t="s">
        <v>536</v>
      </c>
      <c r="V5" s="280" t="s">
        <v>537</v>
      </c>
      <c r="W5" s="280" t="s">
        <v>547</v>
      </c>
    </row>
    <row r="6" spans="1:24" x14ac:dyDescent="0.35">
      <c r="A6" s="88" t="s">
        <v>257</v>
      </c>
      <c r="B6" s="282">
        <f>'[2]ตาราง 5'!B5+'[2]ตาราง 5'!B6</f>
        <v>15258550</v>
      </c>
      <c r="C6" s="281">
        <f>6544674.19+92031834.71+15258550</f>
        <v>113835058.89999999</v>
      </c>
      <c r="D6" s="283">
        <f>201852.9220542+69644.6416659181+455825.095957731+125550.963270133+22489339.33</f>
        <v>23342212.952947982</v>
      </c>
      <c r="E6" s="281">
        <f>470375.54+16729088.99</f>
        <v>17199464.530000001</v>
      </c>
      <c r="F6" s="281">
        <f>1667777.79+32476081.69</f>
        <v>34143859.480000004</v>
      </c>
      <c r="G6" s="284">
        <f>SUM(C6:F6)</f>
        <v>188520595.862948</v>
      </c>
      <c r="H6" s="285">
        <v>4013183</v>
      </c>
      <c r="I6" s="286" t="s">
        <v>224</v>
      </c>
      <c r="J6" s="287">
        <f>SUM(G6/H6)</f>
        <v>46.975330021817598</v>
      </c>
      <c r="K6" s="88" t="s">
        <v>257</v>
      </c>
      <c r="L6" s="282">
        <f>'[2]ตาราง 5'!L5+'[2]ตาราง 5'!L6</f>
        <v>0</v>
      </c>
      <c r="M6" s="281">
        <v>112077516.9013921</v>
      </c>
      <c r="N6" s="283">
        <v>122569669.84004557</v>
      </c>
      <c r="O6" s="281">
        <v>55598164.677372113</v>
      </c>
      <c r="P6" s="281">
        <v>38553544.880075179</v>
      </c>
      <c r="Q6" s="284">
        <f>SUM(M6:P6)</f>
        <v>328798896.29888493</v>
      </c>
      <c r="R6" s="285">
        <v>9625379</v>
      </c>
      <c r="S6" s="394" t="s">
        <v>224</v>
      </c>
      <c r="T6" s="395">
        <f>SUM(Q6/R6)</f>
        <v>34.159579201908301</v>
      </c>
      <c r="U6" s="169">
        <f t="shared" ref="U6:V9" si="0">SUM(Q6-G6)*100/G6</f>
        <v>74.410066334565059</v>
      </c>
      <c r="V6" s="393">
        <f t="shared" si="0"/>
        <v>139.84400910698565</v>
      </c>
      <c r="W6" s="393">
        <f t="shared" ref="W6:W8" si="1">SUM(T6-J6)*100/J6</f>
        <v>-27.281875005363553</v>
      </c>
      <c r="X6" s="400"/>
    </row>
    <row r="7" spans="1:24" ht="42" x14ac:dyDescent="0.35">
      <c r="A7" s="91" t="s">
        <v>258</v>
      </c>
      <c r="B7" s="289">
        <f>'[2]ตาราง 5'!B7</f>
        <v>189588469.46000001</v>
      </c>
      <c r="C7" s="281">
        <f>335220041.38+106145536.98+189588469.46</f>
        <v>630954047.82000005</v>
      </c>
      <c r="D7" s="281">
        <f>23476298.83+956025.66</f>
        <v>24432324.489999998</v>
      </c>
      <c r="E7" s="281">
        <f>13368121.4+1075893.22</f>
        <v>14444014.620000001</v>
      </c>
      <c r="F7" s="281">
        <f>27900103.69+3109743.56</f>
        <v>31009847.25</v>
      </c>
      <c r="G7" s="284">
        <f>SUM(C7:F7)</f>
        <v>700840234.18000007</v>
      </c>
      <c r="H7" s="423">
        <v>261112</v>
      </c>
      <c r="I7" s="290" t="s">
        <v>500</v>
      </c>
      <c r="J7" s="287">
        <f>SUM(G7/H7)</f>
        <v>2684.0598447409543</v>
      </c>
      <c r="K7" s="91" t="s">
        <v>258</v>
      </c>
      <c r="L7" s="289">
        <f>'[2]ตาราง 5'!L7</f>
        <v>0</v>
      </c>
      <c r="M7" s="281">
        <v>643862335.24361992</v>
      </c>
      <c r="N7" s="281">
        <v>55694112.831521943</v>
      </c>
      <c r="O7" s="281">
        <v>219513286.39133263</v>
      </c>
      <c r="P7" s="281">
        <v>31308465.752528559</v>
      </c>
      <c r="Q7" s="284">
        <f>SUM(M7:P7)</f>
        <v>950378200.21900308</v>
      </c>
      <c r="R7" s="285">
        <v>331941</v>
      </c>
      <c r="S7" s="290" t="s">
        <v>500</v>
      </c>
      <c r="T7" s="395">
        <f>SUM(Q7/R7)</f>
        <v>2863.0937432224496</v>
      </c>
      <c r="U7" s="169">
        <f t="shared" si="0"/>
        <v>35.605542300374417</v>
      </c>
      <c r="V7" s="393">
        <f t="shared" si="0"/>
        <v>27.125907656484575</v>
      </c>
      <c r="W7" s="288">
        <f t="shared" si="1"/>
        <v>6.6702647793896084</v>
      </c>
    </row>
    <row r="8" spans="1:24" ht="42" x14ac:dyDescent="0.35">
      <c r="A8" s="91" t="s">
        <v>259</v>
      </c>
      <c r="B8" s="289">
        <f>'[2]ตาราง 5'!B9+'[2]ตาราง 5'!B10</f>
        <v>363417551.03000003</v>
      </c>
      <c r="C8" s="291">
        <f>35894266.89+202836.08+363417551.03</f>
        <v>399514654</v>
      </c>
      <c r="D8" s="291">
        <f>1498976.22+198459.34</f>
        <v>1697435.56</v>
      </c>
      <c r="E8" s="291">
        <f>1137428.36+105564.81</f>
        <v>1242993.1700000002</v>
      </c>
      <c r="F8" s="291">
        <f>3083585.39+178740.44</f>
        <v>3262325.83</v>
      </c>
      <c r="G8" s="284">
        <f>SUM(C8:F8)</f>
        <v>405717408.56</v>
      </c>
      <c r="H8" s="423">
        <v>216368</v>
      </c>
      <c r="I8" s="290" t="s">
        <v>224</v>
      </c>
      <c r="J8" s="287">
        <f>SUM(G8/H8)</f>
        <v>1875.1266756636842</v>
      </c>
      <c r="K8" s="91" t="s">
        <v>259</v>
      </c>
      <c r="L8" s="289">
        <f>'[2]ตาราง 5'!L9+'[2]ตาราง 5'!L10</f>
        <v>0</v>
      </c>
      <c r="M8" s="300">
        <v>347015298.79747504</v>
      </c>
      <c r="N8" s="300">
        <v>9486995.2105936278</v>
      </c>
      <c r="O8" s="300">
        <v>2215755.7155823968</v>
      </c>
      <c r="P8" s="300">
        <v>2929931.30403258</v>
      </c>
      <c r="Q8" s="284">
        <f>SUM(M8:P8)</f>
        <v>361647981.02768362</v>
      </c>
      <c r="R8" s="285">
        <v>208050</v>
      </c>
      <c r="S8" s="290" t="s">
        <v>224</v>
      </c>
      <c r="T8" s="395">
        <f>SUM(Q8/R8)</f>
        <v>1738.2743620652902</v>
      </c>
      <c r="U8" s="393">
        <f t="shared" si="0"/>
        <v>-10.862099235211675</v>
      </c>
      <c r="V8" s="393">
        <f t="shared" si="0"/>
        <v>-3.8443762478739925</v>
      </c>
      <c r="W8" s="393">
        <f t="shared" si="1"/>
        <v>-7.2982969830534952</v>
      </c>
    </row>
    <row r="9" spans="1:24" s="85" customFormat="1" ht="42" x14ac:dyDescent="0.35">
      <c r="A9" s="91" t="s">
        <v>260</v>
      </c>
      <c r="B9" s="289">
        <f>'[2]ตาราง 5'!B4</f>
        <v>199249091.40000001</v>
      </c>
      <c r="C9" s="281">
        <f>984005913.93+199249091.4</f>
        <v>1183255005.3299999</v>
      </c>
      <c r="D9" s="283">
        <v>175551269.21333501</v>
      </c>
      <c r="E9" s="281">
        <v>33989326.770000003</v>
      </c>
      <c r="F9" s="281">
        <v>178568172.65000001</v>
      </c>
      <c r="G9" s="292">
        <f>SUM(C9:F9)</f>
        <v>1571363773.963335</v>
      </c>
      <c r="H9" s="423">
        <v>118056</v>
      </c>
      <c r="I9" s="290" t="s">
        <v>222</v>
      </c>
      <c r="J9" s="287">
        <f>SUM(G9/H9)</f>
        <v>13310.325387640907</v>
      </c>
      <c r="K9" s="91" t="s">
        <v>260</v>
      </c>
      <c r="L9" s="289">
        <f>'[2]ตาราง 5'!L4</f>
        <v>0</v>
      </c>
      <c r="M9" s="281">
        <v>1120124836.877512</v>
      </c>
      <c r="N9" s="283">
        <v>133657614.54783885</v>
      </c>
      <c r="O9" s="281">
        <v>33568862.915712781</v>
      </c>
      <c r="P9" s="281">
        <v>112048729.90336338</v>
      </c>
      <c r="Q9" s="292">
        <f>SUM(M9:P9)</f>
        <v>1399400044.2444272</v>
      </c>
      <c r="R9" s="285">
        <v>12</v>
      </c>
      <c r="S9" s="290" t="s">
        <v>331</v>
      </c>
      <c r="T9" s="424">
        <f>SUM(Q9/R9)</f>
        <v>116616670.35370226</v>
      </c>
      <c r="U9" s="393">
        <f t="shared" si="0"/>
        <v>-10.943597693179372</v>
      </c>
      <c r="V9" s="393">
        <f t="shared" si="0"/>
        <v>-99.989835332384629</v>
      </c>
      <c r="W9" s="288"/>
      <c r="X9" s="400" t="s">
        <v>573</v>
      </c>
    </row>
    <row r="10" spans="1:24" ht="21.75" thickBot="1" x14ac:dyDescent="0.4">
      <c r="A10" s="95" t="s">
        <v>178</v>
      </c>
      <c r="B10" s="293">
        <f t="shared" ref="B10:G10" si="2">SUM(B6:B9)</f>
        <v>767513661.88999999</v>
      </c>
      <c r="C10" s="294">
        <f t="shared" si="2"/>
        <v>2327558766.0500002</v>
      </c>
      <c r="D10" s="294">
        <f t="shared" si="2"/>
        <v>225023242.21628299</v>
      </c>
      <c r="E10" s="294">
        <f t="shared" si="2"/>
        <v>66875799.090000004</v>
      </c>
      <c r="F10" s="294">
        <f t="shared" si="2"/>
        <v>246984205.21000001</v>
      </c>
      <c r="G10" s="294">
        <f t="shared" si="2"/>
        <v>2866442012.5662832</v>
      </c>
      <c r="H10" s="295">
        <f>SUM(H6:H9)</f>
        <v>4608719</v>
      </c>
      <c r="I10" s="296"/>
      <c r="J10" s="297">
        <f>SUM(J6:J9)</f>
        <v>17916.487238067362</v>
      </c>
      <c r="K10" s="95" t="s">
        <v>178</v>
      </c>
      <c r="L10" s="293">
        <f t="shared" ref="L10:Q10" si="3">SUM(L6:L9)</f>
        <v>0</v>
      </c>
      <c r="M10" s="294">
        <f t="shared" si="3"/>
        <v>2223079987.8199987</v>
      </c>
      <c r="N10" s="294">
        <f t="shared" si="3"/>
        <v>321408392.43000001</v>
      </c>
      <c r="O10" s="294">
        <f t="shared" si="3"/>
        <v>310896069.69999987</v>
      </c>
      <c r="P10" s="294">
        <f t="shared" si="3"/>
        <v>184840671.83999968</v>
      </c>
      <c r="Q10" s="294">
        <f t="shared" si="3"/>
        <v>3040225121.789999</v>
      </c>
      <c r="R10" s="295">
        <f>SUM(R6:R9)</f>
        <v>10165382</v>
      </c>
      <c r="S10" s="296"/>
      <c r="T10" s="297">
        <f>SUM(T6:T9)</f>
        <v>116621305.88138676</v>
      </c>
      <c r="U10" s="298"/>
      <c r="V10" s="298"/>
      <c r="W10" s="298"/>
    </row>
    <row r="11" spans="1:24" ht="21.75" thickTop="1" x14ac:dyDescent="0.35"/>
    <row r="12" spans="1:24" x14ac:dyDescent="0.35">
      <c r="A12" s="81"/>
      <c r="B12" s="299">
        <v>767513661.88999999</v>
      </c>
      <c r="C12" s="299"/>
      <c r="K12" s="81"/>
      <c r="L12" s="299">
        <v>767513661.88999999</v>
      </c>
      <c r="M12" s="299"/>
    </row>
  </sheetData>
  <mergeCells count="4">
    <mergeCell ref="A4:J4"/>
    <mergeCell ref="U4:W4"/>
    <mergeCell ref="K4:T4"/>
    <mergeCell ref="A1:W1"/>
  </mergeCells>
  <pageMargins left="0.11811023622047245" right="0" top="0.74803149606299213" bottom="0" header="0.31496062992125984" footer="0.31496062992125984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39"/>
  <sheetViews>
    <sheetView topLeftCell="A17" workbookViewId="0">
      <selection activeCell="F40" sqref="F40"/>
    </sheetView>
  </sheetViews>
  <sheetFormatPr defaultRowHeight="18.75" x14ac:dyDescent="0.3"/>
  <cols>
    <col min="1" max="1" width="35.42578125" style="23" customWidth="1"/>
    <col min="2" max="3" width="13.42578125" style="23" bestFit="1" customWidth="1"/>
    <col min="4" max="4" width="12.28515625" style="23" bestFit="1" customWidth="1"/>
    <col min="5" max="5" width="13.42578125" style="23" customWidth="1"/>
    <col min="6" max="6" width="14.85546875" style="23" bestFit="1" customWidth="1"/>
    <col min="7" max="7" width="13.85546875" style="23" customWidth="1"/>
    <col min="8" max="8" width="13.5703125" style="23" bestFit="1" customWidth="1"/>
    <col min="9" max="9" width="15" style="23" bestFit="1" customWidth="1"/>
    <col min="10" max="10" width="13.5703125" style="23" bestFit="1" customWidth="1"/>
    <col min="11" max="11" width="11" style="23" customWidth="1"/>
    <col min="12" max="12" width="12.42578125" style="23" bestFit="1" customWidth="1"/>
    <col min="13" max="13" width="13.85546875" style="23" customWidth="1"/>
    <col min="14" max="14" width="13.5703125" style="23" bestFit="1" customWidth="1"/>
    <col min="15" max="15" width="15" style="21" bestFit="1" customWidth="1"/>
    <col min="16" max="255" width="9.140625" style="23"/>
    <col min="256" max="259" width="13.85546875" style="23" customWidth="1"/>
    <col min="260" max="260" width="30.42578125" style="23" customWidth="1"/>
    <col min="261" max="270" width="13.85546875" style="23" customWidth="1"/>
    <col min="271" max="511" width="9.140625" style="23"/>
    <col min="512" max="515" width="13.85546875" style="23" customWidth="1"/>
    <col min="516" max="516" width="30.42578125" style="23" customWidth="1"/>
    <col min="517" max="526" width="13.85546875" style="23" customWidth="1"/>
    <col min="527" max="767" width="9.140625" style="23"/>
    <col min="768" max="771" width="13.85546875" style="23" customWidth="1"/>
    <col min="772" max="772" width="30.42578125" style="23" customWidth="1"/>
    <col min="773" max="782" width="13.85546875" style="23" customWidth="1"/>
    <col min="783" max="1023" width="9.140625" style="23"/>
    <col min="1024" max="1027" width="13.85546875" style="23" customWidth="1"/>
    <col min="1028" max="1028" width="30.42578125" style="23" customWidth="1"/>
    <col min="1029" max="1038" width="13.85546875" style="23" customWidth="1"/>
    <col min="1039" max="1279" width="9.140625" style="23"/>
    <col min="1280" max="1283" width="13.85546875" style="23" customWidth="1"/>
    <col min="1284" max="1284" width="30.42578125" style="23" customWidth="1"/>
    <col min="1285" max="1294" width="13.85546875" style="23" customWidth="1"/>
    <col min="1295" max="1535" width="9.140625" style="23"/>
    <col min="1536" max="1539" width="13.85546875" style="23" customWidth="1"/>
    <col min="1540" max="1540" width="30.42578125" style="23" customWidth="1"/>
    <col min="1541" max="1550" width="13.85546875" style="23" customWidth="1"/>
    <col min="1551" max="1791" width="9.140625" style="23"/>
    <col min="1792" max="1795" width="13.85546875" style="23" customWidth="1"/>
    <col min="1796" max="1796" width="30.42578125" style="23" customWidth="1"/>
    <col min="1797" max="1806" width="13.85546875" style="23" customWidth="1"/>
    <col min="1807" max="2047" width="9.140625" style="23"/>
    <col min="2048" max="2051" width="13.85546875" style="23" customWidth="1"/>
    <col min="2052" max="2052" width="30.42578125" style="23" customWidth="1"/>
    <col min="2053" max="2062" width="13.85546875" style="23" customWidth="1"/>
    <col min="2063" max="2303" width="9.140625" style="23"/>
    <col min="2304" max="2307" width="13.85546875" style="23" customWidth="1"/>
    <col min="2308" max="2308" width="30.42578125" style="23" customWidth="1"/>
    <col min="2309" max="2318" width="13.85546875" style="23" customWidth="1"/>
    <col min="2319" max="2559" width="9.140625" style="23"/>
    <col min="2560" max="2563" width="13.85546875" style="23" customWidth="1"/>
    <col min="2564" max="2564" width="30.42578125" style="23" customWidth="1"/>
    <col min="2565" max="2574" width="13.85546875" style="23" customWidth="1"/>
    <col min="2575" max="2815" width="9.140625" style="23"/>
    <col min="2816" max="2819" width="13.85546875" style="23" customWidth="1"/>
    <col min="2820" max="2820" width="30.42578125" style="23" customWidth="1"/>
    <col min="2821" max="2830" width="13.85546875" style="23" customWidth="1"/>
    <col min="2831" max="3071" width="9.140625" style="23"/>
    <col min="3072" max="3075" width="13.85546875" style="23" customWidth="1"/>
    <col min="3076" max="3076" width="30.42578125" style="23" customWidth="1"/>
    <col min="3077" max="3086" width="13.85546875" style="23" customWidth="1"/>
    <col min="3087" max="3327" width="9.140625" style="23"/>
    <col min="3328" max="3331" width="13.85546875" style="23" customWidth="1"/>
    <col min="3332" max="3332" width="30.42578125" style="23" customWidth="1"/>
    <col min="3333" max="3342" width="13.85546875" style="23" customWidth="1"/>
    <col min="3343" max="3583" width="9.140625" style="23"/>
    <col min="3584" max="3587" width="13.85546875" style="23" customWidth="1"/>
    <col min="3588" max="3588" width="30.42578125" style="23" customWidth="1"/>
    <col min="3589" max="3598" width="13.85546875" style="23" customWidth="1"/>
    <col min="3599" max="3839" width="9.140625" style="23"/>
    <col min="3840" max="3843" width="13.85546875" style="23" customWidth="1"/>
    <col min="3844" max="3844" width="30.42578125" style="23" customWidth="1"/>
    <col min="3845" max="3854" width="13.85546875" style="23" customWidth="1"/>
    <col min="3855" max="4095" width="9.140625" style="23"/>
    <col min="4096" max="4099" width="13.85546875" style="23" customWidth="1"/>
    <col min="4100" max="4100" width="30.42578125" style="23" customWidth="1"/>
    <col min="4101" max="4110" width="13.85546875" style="23" customWidth="1"/>
    <col min="4111" max="4351" width="9.140625" style="23"/>
    <col min="4352" max="4355" width="13.85546875" style="23" customWidth="1"/>
    <col min="4356" max="4356" width="30.42578125" style="23" customWidth="1"/>
    <col min="4357" max="4366" width="13.85546875" style="23" customWidth="1"/>
    <col min="4367" max="4607" width="9.140625" style="23"/>
    <col min="4608" max="4611" width="13.85546875" style="23" customWidth="1"/>
    <col min="4612" max="4612" width="30.42578125" style="23" customWidth="1"/>
    <col min="4613" max="4622" width="13.85546875" style="23" customWidth="1"/>
    <col min="4623" max="4863" width="9.140625" style="23"/>
    <col min="4864" max="4867" width="13.85546875" style="23" customWidth="1"/>
    <col min="4868" max="4868" width="30.42578125" style="23" customWidth="1"/>
    <col min="4869" max="4878" width="13.85546875" style="23" customWidth="1"/>
    <col min="4879" max="5119" width="9.140625" style="23"/>
    <col min="5120" max="5123" width="13.85546875" style="23" customWidth="1"/>
    <col min="5124" max="5124" width="30.42578125" style="23" customWidth="1"/>
    <col min="5125" max="5134" width="13.85546875" style="23" customWidth="1"/>
    <col min="5135" max="5375" width="9.140625" style="23"/>
    <col min="5376" max="5379" width="13.85546875" style="23" customWidth="1"/>
    <col min="5380" max="5380" width="30.42578125" style="23" customWidth="1"/>
    <col min="5381" max="5390" width="13.85546875" style="23" customWidth="1"/>
    <col min="5391" max="5631" width="9.140625" style="23"/>
    <col min="5632" max="5635" width="13.85546875" style="23" customWidth="1"/>
    <col min="5636" max="5636" width="30.42578125" style="23" customWidth="1"/>
    <col min="5637" max="5646" width="13.85546875" style="23" customWidth="1"/>
    <col min="5647" max="5887" width="9.140625" style="23"/>
    <col min="5888" max="5891" width="13.85546875" style="23" customWidth="1"/>
    <col min="5892" max="5892" width="30.42578125" style="23" customWidth="1"/>
    <col min="5893" max="5902" width="13.85546875" style="23" customWidth="1"/>
    <col min="5903" max="6143" width="9.140625" style="23"/>
    <col min="6144" max="6147" width="13.85546875" style="23" customWidth="1"/>
    <col min="6148" max="6148" width="30.42578125" style="23" customWidth="1"/>
    <col min="6149" max="6158" width="13.85546875" style="23" customWidth="1"/>
    <col min="6159" max="6399" width="9.140625" style="23"/>
    <col min="6400" max="6403" width="13.85546875" style="23" customWidth="1"/>
    <col min="6404" max="6404" width="30.42578125" style="23" customWidth="1"/>
    <col min="6405" max="6414" width="13.85546875" style="23" customWidth="1"/>
    <col min="6415" max="6655" width="9.140625" style="23"/>
    <col min="6656" max="6659" width="13.85546875" style="23" customWidth="1"/>
    <col min="6660" max="6660" width="30.42578125" style="23" customWidth="1"/>
    <col min="6661" max="6670" width="13.85546875" style="23" customWidth="1"/>
    <col min="6671" max="6911" width="9.140625" style="23"/>
    <col min="6912" max="6915" width="13.85546875" style="23" customWidth="1"/>
    <col min="6916" max="6916" width="30.42578125" style="23" customWidth="1"/>
    <col min="6917" max="6926" width="13.85546875" style="23" customWidth="1"/>
    <col min="6927" max="7167" width="9.140625" style="23"/>
    <col min="7168" max="7171" width="13.85546875" style="23" customWidth="1"/>
    <col min="7172" max="7172" width="30.42578125" style="23" customWidth="1"/>
    <col min="7173" max="7182" width="13.85546875" style="23" customWidth="1"/>
    <col min="7183" max="7423" width="9.140625" style="23"/>
    <col min="7424" max="7427" width="13.85546875" style="23" customWidth="1"/>
    <col min="7428" max="7428" width="30.42578125" style="23" customWidth="1"/>
    <col min="7429" max="7438" width="13.85546875" style="23" customWidth="1"/>
    <col min="7439" max="7679" width="9.140625" style="23"/>
    <col min="7680" max="7683" width="13.85546875" style="23" customWidth="1"/>
    <col min="7684" max="7684" width="30.42578125" style="23" customWidth="1"/>
    <col min="7685" max="7694" width="13.85546875" style="23" customWidth="1"/>
    <col min="7695" max="7935" width="9.140625" style="23"/>
    <col min="7936" max="7939" width="13.85546875" style="23" customWidth="1"/>
    <col min="7940" max="7940" width="30.42578125" style="23" customWidth="1"/>
    <col min="7941" max="7950" width="13.85546875" style="23" customWidth="1"/>
    <col min="7951" max="8191" width="9.140625" style="23"/>
    <col min="8192" max="8195" width="13.85546875" style="23" customWidth="1"/>
    <col min="8196" max="8196" width="30.42578125" style="23" customWidth="1"/>
    <col min="8197" max="8206" width="13.85546875" style="23" customWidth="1"/>
    <col min="8207" max="8447" width="9.140625" style="23"/>
    <col min="8448" max="8451" width="13.85546875" style="23" customWidth="1"/>
    <col min="8452" max="8452" width="30.42578125" style="23" customWidth="1"/>
    <col min="8453" max="8462" width="13.85546875" style="23" customWidth="1"/>
    <col min="8463" max="8703" width="9.140625" style="23"/>
    <col min="8704" max="8707" width="13.85546875" style="23" customWidth="1"/>
    <col min="8708" max="8708" width="30.42578125" style="23" customWidth="1"/>
    <col min="8709" max="8718" width="13.85546875" style="23" customWidth="1"/>
    <col min="8719" max="8959" width="9.140625" style="23"/>
    <col min="8960" max="8963" width="13.85546875" style="23" customWidth="1"/>
    <col min="8964" max="8964" width="30.42578125" style="23" customWidth="1"/>
    <col min="8965" max="8974" width="13.85546875" style="23" customWidth="1"/>
    <col min="8975" max="9215" width="9.140625" style="23"/>
    <col min="9216" max="9219" width="13.85546875" style="23" customWidth="1"/>
    <col min="9220" max="9220" width="30.42578125" style="23" customWidth="1"/>
    <col min="9221" max="9230" width="13.85546875" style="23" customWidth="1"/>
    <col min="9231" max="9471" width="9.140625" style="23"/>
    <col min="9472" max="9475" width="13.85546875" style="23" customWidth="1"/>
    <col min="9476" max="9476" width="30.42578125" style="23" customWidth="1"/>
    <col min="9477" max="9486" width="13.85546875" style="23" customWidth="1"/>
    <col min="9487" max="9727" width="9.140625" style="23"/>
    <col min="9728" max="9731" width="13.85546875" style="23" customWidth="1"/>
    <col min="9732" max="9732" width="30.42578125" style="23" customWidth="1"/>
    <col min="9733" max="9742" width="13.85546875" style="23" customWidth="1"/>
    <col min="9743" max="9983" width="9.140625" style="23"/>
    <col min="9984" max="9987" width="13.85546875" style="23" customWidth="1"/>
    <col min="9988" max="9988" width="30.42578125" style="23" customWidth="1"/>
    <col min="9989" max="9998" width="13.85546875" style="23" customWidth="1"/>
    <col min="9999" max="10239" width="9.140625" style="23"/>
    <col min="10240" max="10243" width="13.85546875" style="23" customWidth="1"/>
    <col min="10244" max="10244" width="30.42578125" style="23" customWidth="1"/>
    <col min="10245" max="10254" width="13.85546875" style="23" customWidth="1"/>
    <col min="10255" max="10495" width="9.140625" style="23"/>
    <col min="10496" max="10499" width="13.85546875" style="23" customWidth="1"/>
    <col min="10500" max="10500" width="30.42578125" style="23" customWidth="1"/>
    <col min="10501" max="10510" width="13.85546875" style="23" customWidth="1"/>
    <col min="10511" max="10751" width="9.140625" style="23"/>
    <col min="10752" max="10755" width="13.85546875" style="23" customWidth="1"/>
    <col min="10756" max="10756" width="30.42578125" style="23" customWidth="1"/>
    <col min="10757" max="10766" width="13.85546875" style="23" customWidth="1"/>
    <col min="10767" max="11007" width="9.140625" style="23"/>
    <col min="11008" max="11011" width="13.85546875" style="23" customWidth="1"/>
    <col min="11012" max="11012" width="30.42578125" style="23" customWidth="1"/>
    <col min="11013" max="11022" width="13.85546875" style="23" customWidth="1"/>
    <col min="11023" max="11263" width="9.140625" style="23"/>
    <col min="11264" max="11267" width="13.85546875" style="23" customWidth="1"/>
    <col min="11268" max="11268" width="30.42578125" style="23" customWidth="1"/>
    <col min="11269" max="11278" width="13.85546875" style="23" customWidth="1"/>
    <col min="11279" max="11519" width="9.140625" style="23"/>
    <col min="11520" max="11523" width="13.85546875" style="23" customWidth="1"/>
    <col min="11524" max="11524" width="30.42578125" style="23" customWidth="1"/>
    <col min="11525" max="11534" width="13.85546875" style="23" customWidth="1"/>
    <col min="11535" max="11775" width="9.140625" style="23"/>
    <col min="11776" max="11779" width="13.85546875" style="23" customWidth="1"/>
    <col min="11780" max="11780" width="30.42578125" style="23" customWidth="1"/>
    <col min="11781" max="11790" width="13.85546875" style="23" customWidth="1"/>
    <col min="11791" max="12031" width="9.140625" style="23"/>
    <col min="12032" max="12035" width="13.85546875" style="23" customWidth="1"/>
    <col min="12036" max="12036" width="30.42578125" style="23" customWidth="1"/>
    <col min="12037" max="12046" width="13.85546875" style="23" customWidth="1"/>
    <col min="12047" max="12287" width="9.140625" style="23"/>
    <col min="12288" max="12291" width="13.85546875" style="23" customWidth="1"/>
    <col min="12292" max="12292" width="30.42578125" style="23" customWidth="1"/>
    <col min="12293" max="12302" width="13.85546875" style="23" customWidth="1"/>
    <col min="12303" max="12543" width="9.140625" style="23"/>
    <col min="12544" max="12547" width="13.85546875" style="23" customWidth="1"/>
    <col min="12548" max="12548" width="30.42578125" style="23" customWidth="1"/>
    <col min="12549" max="12558" width="13.85546875" style="23" customWidth="1"/>
    <col min="12559" max="12799" width="9.140625" style="23"/>
    <col min="12800" max="12803" width="13.85546875" style="23" customWidth="1"/>
    <col min="12804" max="12804" width="30.42578125" style="23" customWidth="1"/>
    <col min="12805" max="12814" width="13.85546875" style="23" customWidth="1"/>
    <col min="12815" max="13055" width="9.140625" style="23"/>
    <col min="13056" max="13059" width="13.85546875" style="23" customWidth="1"/>
    <col min="13060" max="13060" width="30.42578125" style="23" customWidth="1"/>
    <col min="13061" max="13070" width="13.85546875" style="23" customWidth="1"/>
    <col min="13071" max="13311" width="9.140625" style="23"/>
    <col min="13312" max="13315" width="13.85546875" style="23" customWidth="1"/>
    <col min="13316" max="13316" width="30.42578125" style="23" customWidth="1"/>
    <col min="13317" max="13326" width="13.85546875" style="23" customWidth="1"/>
    <col min="13327" max="13567" width="9.140625" style="23"/>
    <col min="13568" max="13571" width="13.85546875" style="23" customWidth="1"/>
    <col min="13572" max="13572" width="30.42578125" style="23" customWidth="1"/>
    <col min="13573" max="13582" width="13.85546875" style="23" customWidth="1"/>
    <col min="13583" max="13823" width="9.140625" style="23"/>
    <col min="13824" max="13827" width="13.85546875" style="23" customWidth="1"/>
    <col min="13828" max="13828" width="30.42578125" style="23" customWidth="1"/>
    <col min="13829" max="13838" width="13.85546875" style="23" customWidth="1"/>
    <col min="13839" max="14079" width="9.140625" style="23"/>
    <col min="14080" max="14083" width="13.85546875" style="23" customWidth="1"/>
    <col min="14084" max="14084" width="30.42578125" style="23" customWidth="1"/>
    <col min="14085" max="14094" width="13.85546875" style="23" customWidth="1"/>
    <col min="14095" max="14335" width="9.140625" style="23"/>
    <col min="14336" max="14339" width="13.85546875" style="23" customWidth="1"/>
    <col min="14340" max="14340" width="30.42578125" style="23" customWidth="1"/>
    <col min="14341" max="14350" width="13.85546875" style="23" customWidth="1"/>
    <col min="14351" max="14591" width="9.140625" style="23"/>
    <col min="14592" max="14595" width="13.85546875" style="23" customWidth="1"/>
    <col min="14596" max="14596" width="30.42578125" style="23" customWidth="1"/>
    <col min="14597" max="14606" width="13.85546875" style="23" customWidth="1"/>
    <col min="14607" max="14847" width="9.140625" style="23"/>
    <col min="14848" max="14851" width="13.85546875" style="23" customWidth="1"/>
    <col min="14852" max="14852" width="30.42578125" style="23" customWidth="1"/>
    <col min="14853" max="14862" width="13.85546875" style="23" customWidth="1"/>
    <col min="14863" max="15103" width="9.140625" style="23"/>
    <col min="15104" max="15107" width="13.85546875" style="23" customWidth="1"/>
    <col min="15108" max="15108" width="30.42578125" style="23" customWidth="1"/>
    <col min="15109" max="15118" width="13.85546875" style="23" customWidth="1"/>
    <col min="15119" max="15359" width="9.140625" style="23"/>
    <col min="15360" max="15363" width="13.85546875" style="23" customWidth="1"/>
    <col min="15364" max="15364" width="30.42578125" style="23" customWidth="1"/>
    <col min="15365" max="15374" width="13.85546875" style="23" customWidth="1"/>
    <col min="15375" max="15615" width="9.140625" style="23"/>
    <col min="15616" max="15619" width="13.85546875" style="23" customWidth="1"/>
    <col min="15620" max="15620" width="30.42578125" style="23" customWidth="1"/>
    <col min="15621" max="15630" width="13.85546875" style="23" customWidth="1"/>
    <col min="15631" max="15871" width="9.140625" style="23"/>
    <col min="15872" max="15875" width="13.85546875" style="23" customWidth="1"/>
    <col min="15876" max="15876" width="30.42578125" style="23" customWidth="1"/>
    <col min="15877" max="15886" width="13.85546875" style="23" customWidth="1"/>
    <col min="15887" max="16127" width="9.140625" style="23"/>
    <col min="16128" max="16131" width="13.85546875" style="23" customWidth="1"/>
    <col min="16132" max="16132" width="30.42578125" style="23" customWidth="1"/>
    <col min="16133" max="16142" width="13.85546875" style="23" customWidth="1"/>
    <col min="16143" max="16384" width="9.140625" style="23"/>
  </cols>
  <sheetData>
    <row r="2" spans="1:15" x14ac:dyDescent="0.3">
      <c r="A2" s="555" t="s">
        <v>36</v>
      </c>
      <c r="B2" s="556" t="s">
        <v>70</v>
      </c>
      <c r="C2" s="557"/>
      <c r="D2" s="557"/>
      <c r="E2" s="557"/>
      <c r="F2" s="557"/>
      <c r="G2" s="557"/>
      <c r="H2" s="557"/>
      <c r="I2" s="558"/>
      <c r="J2" s="556" t="s">
        <v>71</v>
      </c>
      <c r="K2" s="557"/>
      <c r="L2" s="557"/>
      <c r="M2" s="557"/>
      <c r="N2" s="26"/>
      <c r="O2" s="564" t="s">
        <v>1</v>
      </c>
    </row>
    <row r="3" spans="1:15" s="21" customFormat="1" ht="37.5" customHeight="1" x14ac:dyDescent="0.3">
      <c r="A3" s="555"/>
      <c r="B3" s="559" t="s">
        <v>72</v>
      </c>
      <c r="C3" s="560" t="s">
        <v>73</v>
      </c>
      <c r="D3" s="559" t="s">
        <v>74</v>
      </c>
      <c r="E3" s="560" t="s">
        <v>75</v>
      </c>
      <c r="F3" s="560" t="s">
        <v>76</v>
      </c>
      <c r="G3" s="560" t="s">
        <v>77</v>
      </c>
      <c r="H3" s="561" t="s">
        <v>78</v>
      </c>
      <c r="I3" s="564" t="s">
        <v>1</v>
      </c>
      <c r="J3" s="559" t="s">
        <v>72</v>
      </c>
      <c r="K3" s="560" t="s">
        <v>75</v>
      </c>
      <c r="L3" s="560" t="s">
        <v>76</v>
      </c>
      <c r="M3" s="560" t="s">
        <v>77</v>
      </c>
      <c r="N3" s="564" t="s">
        <v>1</v>
      </c>
      <c r="O3" s="565"/>
    </row>
    <row r="4" spans="1:15" s="21" customFormat="1" x14ac:dyDescent="0.3">
      <c r="A4" s="555"/>
      <c r="B4" s="559"/>
      <c r="C4" s="560"/>
      <c r="D4" s="559"/>
      <c r="E4" s="560"/>
      <c r="F4" s="560"/>
      <c r="G4" s="560"/>
      <c r="H4" s="562"/>
      <c r="I4" s="565"/>
      <c r="J4" s="559"/>
      <c r="K4" s="560"/>
      <c r="L4" s="560"/>
      <c r="M4" s="560"/>
      <c r="N4" s="565"/>
      <c r="O4" s="565"/>
    </row>
    <row r="5" spans="1:15" s="21" customFormat="1" ht="22.5" customHeight="1" x14ac:dyDescent="0.3">
      <c r="A5" s="555"/>
      <c r="B5" s="559"/>
      <c r="C5" s="560"/>
      <c r="D5" s="559"/>
      <c r="E5" s="560"/>
      <c r="F5" s="560"/>
      <c r="G5" s="560"/>
      <c r="H5" s="563"/>
      <c r="I5" s="566"/>
      <c r="J5" s="559"/>
      <c r="K5" s="560"/>
      <c r="L5" s="560"/>
      <c r="M5" s="560"/>
      <c r="N5" s="565"/>
      <c r="O5" s="565"/>
    </row>
    <row r="6" spans="1:15" ht="18" customHeight="1" x14ac:dyDescent="0.3">
      <c r="A6" s="24" t="s">
        <v>36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80</v>
      </c>
      <c r="I6" s="27"/>
      <c r="J6" s="27" t="s">
        <v>37</v>
      </c>
      <c r="K6" s="27" t="s">
        <v>38</v>
      </c>
      <c r="L6" s="27" t="s">
        <v>39</v>
      </c>
      <c r="M6" s="32" t="s">
        <v>79</v>
      </c>
      <c r="N6" s="28"/>
      <c r="O6" s="36"/>
    </row>
    <row r="7" spans="1:15" ht="18" customHeight="1" x14ac:dyDescent="0.3">
      <c r="A7" s="20" t="s">
        <v>40</v>
      </c>
      <c r="B7" s="28"/>
      <c r="C7" s="28"/>
      <c r="D7" s="28"/>
      <c r="E7" s="28"/>
      <c r="F7" s="29"/>
      <c r="G7" s="28"/>
      <c r="H7" s="28"/>
      <c r="I7" s="28"/>
      <c r="J7" s="28"/>
      <c r="K7" s="28"/>
      <c r="L7" s="28"/>
      <c r="M7" s="33"/>
      <c r="N7" s="28"/>
      <c r="O7" s="36"/>
    </row>
    <row r="8" spans="1:15" ht="18" customHeight="1" x14ac:dyDescent="0.3">
      <c r="A8" s="22" t="s">
        <v>41</v>
      </c>
      <c r="B8" s="29">
        <v>3962735.55</v>
      </c>
      <c r="C8" s="29">
        <v>8065421</v>
      </c>
      <c r="D8" s="29">
        <v>4043309.5</v>
      </c>
      <c r="E8" s="29">
        <v>8144538.7699999996</v>
      </c>
      <c r="F8" s="29">
        <f>9336061.84+2</f>
        <v>9336063.8399999999</v>
      </c>
      <c r="G8" s="28"/>
      <c r="H8" s="29">
        <v>69784121.150000006</v>
      </c>
      <c r="I8" s="31">
        <f>SUM(B8:H8)</f>
        <v>103336189.81</v>
      </c>
      <c r="J8" s="29">
        <v>5938821.6257812493</v>
      </c>
      <c r="K8" s="28"/>
      <c r="L8" s="29">
        <v>69827.889843749988</v>
      </c>
      <c r="M8" s="34">
        <v>15966653.607793352</v>
      </c>
      <c r="N8" s="30">
        <f>SUM(J8:M8)</f>
        <v>21975303.12341835</v>
      </c>
      <c r="O8" s="30">
        <f>SUM(I8+N8)</f>
        <v>125311492.93341835</v>
      </c>
    </row>
    <row r="9" spans="1:15" ht="18" customHeight="1" x14ac:dyDescent="0.3">
      <c r="A9" s="22" t="s">
        <v>42</v>
      </c>
      <c r="B9" s="29">
        <v>4209061.32</v>
      </c>
      <c r="C9" s="29">
        <v>3325699.51</v>
      </c>
      <c r="D9" s="29">
        <v>5494267</v>
      </c>
      <c r="E9" s="29">
        <v>10204426.810000001</v>
      </c>
      <c r="F9" s="29">
        <v>4141912.48</v>
      </c>
      <c r="G9" s="28"/>
      <c r="H9" s="29">
        <v>29255603.350000001</v>
      </c>
      <c r="I9" s="31">
        <f t="shared" ref="I9:I36" si="0">SUM(B9:H9)</f>
        <v>56630970.469999999</v>
      </c>
      <c r="J9" s="29">
        <v>6028803.7716264185</v>
      </c>
      <c r="K9" s="28"/>
      <c r="L9" s="29">
        <v>70885.888174715918</v>
      </c>
      <c r="M9" s="34">
        <v>16208572.601850826</v>
      </c>
      <c r="N9" s="30">
        <f t="shared" ref="N9:N36" si="1">SUM(J9:M9)</f>
        <v>22308262.261651963</v>
      </c>
      <c r="O9" s="30">
        <f t="shared" ref="O9:O36" si="2">SUM(I9+N9)</f>
        <v>78939232.731651962</v>
      </c>
    </row>
    <row r="10" spans="1:15" ht="18" customHeight="1" x14ac:dyDescent="0.3">
      <c r="A10" s="22" t="s">
        <v>43</v>
      </c>
      <c r="B10" s="29">
        <v>4505719</v>
      </c>
      <c r="C10" s="29">
        <v>10212592</v>
      </c>
      <c r="D10" s="29">
        <v>4341902</v>
      </c>
      <c r="E10" s="29">
        <v>14352757</v>
      </c>
      <c r="F10" s="29">
        <v>8467036.0900000017</v>
      </c>
      <c r="G10" s="28"/>
      <c r="H10" s="29">
        <v>62615580.57</v>
      </c>
      <c r="I10" s="31">
        <f t="shared" si="0"/>
        <v>104495586.66</v>
      </c>
      <c r="J10" s="29">
        <v>5848839.4799360791</v>
      </c>
      <c r="K10" s="28"/>
      <c r="L10" s="29">
        <v>68769.891512784088</v>
      </c>
      <c r="M10" s="34">
        <v>15724734.613735877</v>
      </c>
      <c r="N10" s="30">
        <f t="shared" si="1"/>
        <v>21642343.98518474</v>
      </c>
      <c r="O10" s="30">
        <f t="shared" si="2"/>
        <v>126137930.64518474</v>
      </c>
    </row>
    <row r="11" spans="1:15" ht="18" customHeight="1" x14ac:dyDescent="0.3">
      <c r="A11" s="22" t="s">
        <v>44</v>
      </c>
      <c r="B11" s="29">
        <v>6096296</v>
      </c>
      <c r="C11" s="29">
        <v>20727549.239999995</v>
      </c>
      <c r="D11" s="29">
        <v>6082835.9500000002</v>
      </c>
      <c r="E11" s="29">
        <v>14605060.42</v>
      </c>
      <c r="F11" s="29">
        <f>1812742.26+7</f>
        <v>1812749.26</v>
      </c>
      <c r="G11" s="28"/>
      <c r="H11" s="29">
        <v>86579669.709999993</v>
      </c>
      <c r="I11" s="31">
        <f t="shared" si="0"/>
        <v>135904160.57999998</v>
      </c>
      <c r="J11" s="29">
        <v>7108589.5217684638</v>
      </c>
      <c r="K11" s="28"/>
      <c r="L11" s="29">
        <v>83581.868146306821</v>
      </c>
      <c r="M11" s="34">
        <v>19111600.530540526</v>
      </c>
      <c r="N11" s="30">
        <f t="shared" si="1"/>
        <v>26303771.920455296</v>
      </c>
      <c r="O11" s="30">
        <f t="shared" si="2"/>
        <v>162207932.50045529</v>
      </c>
    </row>
    <row r="12" spans="1:15" ht="18" customHeight="1" x14ac:dyDescent="0.3">
      <c r="A12" s="22" t="s">
        <v>45</v>
      </c>
      <c r="B12" s="29">
        <v>5373147.6199999992</v>
      </c>
      <c r="C12" s="29">
        <v>11448114.300000001</v>
      </c>
      <c r="D12" s="29">
        <v>7001943.3399999999</v>
      </c>
      <c r="E12" s="29">
        <v>18395328.890000001</v>
      </c>
      <c r="F12" s="29">
        <f>10102310.91+15</f>
        <v>10102325.91</v>
      </c>
      <c r="G12" s="28"/>
      <c r="H12" s="29">
        <v>43711529.409999996</v>
      </c>
      <c r="I12" s="31">
        <f t="shared" si="0"/>
        <v>96032389.469999999</v>
      </c>
      <c r="J12" s="29">
        <v>6838643.0842329543</v>
      </c>
      <c r="K12" s="28"/>
      <c r="L12" s="29">
        <v>80407.873153409091</v>
      </c>
      <c r="M12" s="34">
        <v>18385843.548368104</v>
      </c>
      <c r="N12" s="30">
        <f t="shared" si="1"/>
        <v>25304894.505754467</v>
      </c>
      <c r="O12" s="30">
        <f t="shared" si="2"/>
        <v>121337283.97575447</v>
      </c>
    </row>
    <row r="13" spans="1:15" ht="18" customHeight="1" x14ac:dyDescent="0.3">
      <c r="A13" s="22" t="s">
        <v>46</v>
      </c>
      <c r="B13" s="29">
        <v>4018925</v>
      </c>
      <c r="C13" s="29">
        <v>7740348.3499999996</v>
      </c>
      <c r="D13" s="29">
        <v>5026230.379999999</v>
      </c>
      <c r="E13" s="29">
        <v>10013021.620000001</v>
      </c>
      <c r="F13" s="29">
        <v>9235702.0400000028</v>
      </c>
      <c r="G13" s="28"/>
      <c r="H13" s="29">
        <v>48572963.729999997</v>
      </c>
      <c r="I13" s="31">
        <f t="shared" si="0"/>
        <v>84607191.120000005</v>
      </c>
      <c r="J13" s="29">
        <v>6118785.9174715905</v>
      </c>
      <c r="K13" s="28"/>
      <c r="L13" s="29">
        <v>71943.886505681818</v>
      </c>
      <c r="M13" s="34">
        <v>16450491.595908301</v>
      </c>
      <c r="N13" s="30">
        <f t="shared" si="1"/>
        <v>22641221.399885572</v>
      </c>
      <c r="O13" s="30">
        <f t="shared" si="2"/>
        <v>107248412.51988557</v>
      </c>
    </row>
    <row r="14" spans="1:15" ht="18" customHeight="1" x14ac:dyDescent="0.3">
      <c r="A14" s="22" t="s">
        <v>47</v>
      </c>
      <c r="B14" s="29">
        <v>3278489.3699999992</v>
      </c>
      <c r="C14" s="29">
        <v>7411688.6799999997</v>
      </c>
      <c r="D14" s="29">
        <v>4513621.97</v>
      </c>
      <c r="E14" s="29">
        <v>8220901.5300000003</v>
      </c>
      <c r="F14" s="29">
        <v>2890855.1300000008</v>
      </c>
      <c r="G14" s="28"/>
      <c r="H14" s="29">
        <v>43909313.859999999</v>
      </c>
      <c r="I14" s="31">
        <f t="shared" si="0"/>
        <v>70224870.539999992</v>
      </c>
      <c r="J14" s="29">
        <v>5758857.3340909081</v>
      </c>
      <c r="K14" s="28"/>
      <c r="L14" s="29">
        <v>67711.893181818188</v>
      </c>
      <c r="M14" s="34">
        <v>15482815.6196784</v>
      </c>
      <c r="N14" s="30">
        <f t="shared" si="1"/>
        <v>21309384.846951127</v>
      </c>
      <c r="O14" s="30">
        <f t="shared" si="2"/>
        <v>91534255.386951119</v>
      </c>
    </row>
    <row r="15" spans="1:15" ht="18" customHeight="1" x14ac:dyDescent="0.3">
      <c r="A15" s="22" t="s">
        <v>48</v>
      </c>
      <c r="B15" s="29">
        <v>4474692.83</v>
      </c>
      <c r="C15" s="29">
        <v>4126942.5</v>
      </c>
      <c r="D15" s="29">
        <v>4572565.25</v>
      </c>
      <c r="E15" s="29">
        <v>8981599.6400000006</v>
      </c>
      <c r="F15" s="29">
        <f>7570498.09+1</f>
        <v>7570499.0899999999</v>
      </c>
      <c r="G15" s="28"/>
      <c r="H15" s="29">
        <v>47819476.859999999</v>
      </c>
      <c r="I15" s="31">
        <f t="shared" si="0"/>
        <v>77545776.170000002</v>
      </c>
      <c r="J15" s="29">
        <v>5938821.6257812493</v>
      </c>
      <c r="K15" s="28"/>
      <c r="L15" s="29">
        <v>69827.889843749988</v>
      </c>
      <c r="M15" s="34">
        <v>15966653.607793352</v>
      </c>
      <c r="N15" s="30">
        <f t="shared" si="1"/>
        <v>21975303.12341835</v>
      </c>
      <c r="O15" s="30">
        <f t="shared" si="2"/>
        <v>99521079.293418348</v>
      </c>
    </row>
    <row r="16" spans="1:15" ht="18" customHeight="1" x14ac:dyDescent="0.3">
      <c r="A16" s="22" t="s">
        <v>49</v>
      </c>
      <c r="B16" s="29">
        <v>4003667.83</v>
      </c>
      <c r="C16" s="29">
        <v>5199493</v>
      </c>
      <c r="D16" s="29">
        <v>4076477</v>
      </c>
      <c r="E16" s="29">
        <f>5975100.89+43716.93</f>
        <v>6018817.8199999994</v>
      </c>
      <c r="F16" s="29">
        <f>3578964.61+17439.37</f>
        <v>3596403.98</v>
      </c>
      <c r="G16" s="28"/>
      <c r="H16" s="29">
        <v>60098787.950000003</v>
      </c>
      <c r="I16" s="31">
        <f t="shared" si="0"/>
        <v>82993647.579999998</v>
      </c>
      <c r="J16" s="29">
        <v>6658678.7925426122</v>
      </c>
      <c r="K16" s="28"/>
      <c r="L16" s="29">
        <v>78291.876491477276</v>
      </c>
      <c r="M16" s="34">
        <v>17902005.560253151</v>
      </c>
      <c r="N16" s="30">
        <f t="shared" si="1"/>
        <v>24638976.229287241</v>
      </c>
      <c r="O16" s="30">
        <f t="shared" si="2"/>
        <v>107632623.80928724</v>
      </c>
    </row>
    <row r="17" spans="1:15" ht="18" customHeight="1" x14ac:dyDescent="0.3">
      <c r="A17" s="22" t="s">
        <v>50</v>
      </c>
      <c r="B17" s="29">
        <v>5231382.3</v>
      </c>
      <c r="C17" s="29">
        <v>20001183.850000001</v>
      </c>
      <c r="D17" s="29">
        <v>730680.4</v>
      </c>
      <c r="E17" s="29">
        <v>16276333</v>
      </c>
      <c r="F17" s="29">
        <v>5876491.7300000004</v>
      </c>
      <c r="G17" s="28"/>
      <c r="H17" s="29">
        <v>15390230.890000001</v>
      </c>
      <c r="I17" s="31">
        <f t="shared" si="0"/>
        <v>63506302.170000002</v>
      </c>
      <c r="J17" s="29">
        <v>6208768.0633167606</v>
      </c>
      <c r="K17" s="28"/>
      <c r="L17" s="29">
        <v>73001.884836647732</v>
      </c>
      <c r="M17" s="34">
        <v>16692410.589965776</v>
      </c>
      <c r="N17" s="30">
        <f t="shared" si="1"/>
        <v>22974180.538119182</v>
      </c>
      <c r="O17" s="30">
        <f t="shared" si="2"/>
        <v>86480482.708119184</v>
      </c>
    </row>
    <row r="18" spans="1:15" ht="18" customHeight="1" x14ac:dyDescent="0.3">
      <c r="A18" s="22" t="s">
        <v>51</v>
      </c>
      <c r="B18" s="29">
        <v>3298000</v>
      </c>
      <c r="C18" s="28"/>
      <c r="D18" s="28"/>
      <c r="E18" s="29">
        <v>2400</v>
      </c>
      <c r="F18" s="29">
        <v>4193.5600000000004</v>
      </c>
      <c r="G18" s="29">
        <v>4556924</v>
      </c>
      <c r="H18" s="28"/>
      <c r="I18" s="31">
        <f t="shared" si="0"/>
        <v>7861517.5600000005</v>
      </c>
      <c r="J18" s="29">
        <v>89982.145845170438</v>
      </c>
      <c r="K18" s="28"/>
      <c r="L18" s="29">
        <v>1057.9983309659092</v>
      </c>
      <c r="M18" s="33"/>
      <c r="N18" s="30">
        <f t="shared" si="1"/>
        <v>91040.144176136353</v>
      </c>
      <c r="O18" s="30">
        <f t="shared" si="2"/>
        <v>7952557.7041761372</v>
      </c>
    </row>
    <row r="19" spans="1:15" ht="18" customHeight="1" x14ac:dyDescent="0.3">
      <c r="A19" s="22" t="s">
        <v>52</v>
      </c>
      <c r="B19" s="29">
        <v>4418697</v>
      </c>
      <c r="C19" s="28"/>
      <c r="D19" s="29">
        <v>658323</v>
      </c>
      <c r="E19" s="29">
        <v>1305700</v>
      </c>
      <c r="F19" s="29">
        <v>4193.5600000000004</v>
      </c>
      <c r="G19" s="29">
        <v>0</v>
      </c>
      <c r="H19" s="28"/>
      <c r="I19" s="31">
        <f t="shared" si="0"/>
        <v>6386913.5599999996</v>
      </c>
      <c r="J19" s="29">
        <v>89982.145845170438</v>
      </c>
      <c r="K19" s="28"/>
      <c r="L19" s="29">
        <v>1057.9983309659092</v>
      </c>
      <c r="M19" s="33"/>
      <c r="N19" s="30">
        <f t="shared" si="1"/>
        <v>91040.144176136353</v>
      </c>
      <c r="O19" s="30">
        <f t="shared" si="2"/>
        <v>6477953.7041761363</v>
      </c>
    </row>
    <row r="20" spans="1:15" ht="18" customHeight="1" x14ac:dyDescent="0.3">
      <c r="A20" s="22" t="s">
        <v>53</v>
      </c>
      <c r="B20" s="29">
        <v>2926245</v>
      </c>
      <c r="C20" s="28"/>
      <c r="D20" s="28"/>
      <c r="E20" s="29">
        <v>39277.97</v>
      </c>
      <c r="F20" s="29">
        <v>4193.5600000000004</v>
      </c>
      <c r="G20" s="29">
        <v>1918000</v>
      </c>
      <c r="H20" s="28"/>
      <c r="I20" s="31">
        <f t="shared" si="0"/>
        <v>4887716.53</v>
      </c>
      <c r="J20" s="29">
        <v>89982.145845170438</v>
      </c>
      <c r="K20" s="28"/>
      <c r="L20" s="29">
        <v>1057.9983309659092</v>
      </c>
      <c r="M20" s="33"/>
      <c r="N20" s="30">
        <f t="shared" si="1"/>
        <v>91040.144176136353</v>
      </c>
      <c r="O20" s="30">
        <f t="shared" si="2"/>
        <v>4978756.674176137</v>
      </c>
    </row>
    <row r="21" spans="1:15" ht="18" customHeight="1" x14ac:dyDescent="0.3">
      <c r="A21" s="22" t="s">
        <v>54</v>
      </c>
      <c r="B21" s="29">
        <v>2482350</v>
      </c>
      <c r="C21" s="28"/>
      <c r="D21" s="28"/>
      <c r="E21" s="29">
        <v>3600</v>
      </c>
      <c r="F21" s="29">
        <v>33970.859999999993</v>
      </c>
      <c r="G21" s="29">
        <v>3079881</v>
      </c>
      <c r="H21" s="28"/>
      <c r="I21" s="31">
        <f t="shared" si="0"/>
        <v>5599801.8599999994</v>
      </c>
      <c r="J21" s="29">
        <v>89982.145845170438</v>
      </c>
      <c r="K21" s="28"/>
      <c r="L21" s="29">
        <v>1057.9983309659092</v>
      </c>
      <c r="M21" s="33"/>
      <c r="N21" s="30">
        <f t="shared" si="1"/>
        <v>91040.144176136353</v>
      </c>
      <c r="O21" s="30">
        <f t="shared" si="2"/>
        <v>5690842.0041761361</v>
      </c>
    </row>
    <row r="22" spans="1:15" ht="18" customHeight="1" x14ac:dyDescent="0.3">
      <c r="A22" s="22" t="s">
        <v>55</v>
      </c>
      <c r="B22" s="29">
        <v>2240940</v>
      </c>
      <c r="C22" s="28"/>
      <c r="D22" s="28"/>
      <c r="E22" s="29">
        <v>3600</v>
      </c>
      <c r="F22" s="29">
        <v>17790.97</v>
      </c>
      <c r="G22" s="29">
        <v>2403034</v>
      </c>
      <c r="H22" s="28"/>
      <c r="I22" s="31">
        <f t="shared" si="0"/>
        <v>4665364.9700000007</v>
      </c>
      <c r="J22" s="29">
        <v>89982.145845170438</v>
      </c>
      <c r="K22" s="28"/>
      <c r="L22" s="29">
        <v>1057.9983309659092</v>
      </c>
      <c r="M22" s="33"/>
      <c r="N22" s="30">
        <f t="shared" si="1"/>
        <v>91040.144176136353</v>
      </c>
      <c r="O22" s="30">
        <f t="shared" si="2"/>
        <v>4756405.1141761374</v>
      </c>
    </row>
    <row r="23" spans="1:15" ht="18" customHeight="1" x14ac:dyDescent="0.3">
      <c r="A23" s="25" t="s">
        <v>56</v>
      </c>
      <c r="B23" s="29"/>
      <c r="C23" s="28"/>
      <c r="D23" s="28"/>
      <c r="E23" s="29"/>
      <c r="F23" s="29"/>
      <c r="G23" s="29"/>
      <c r="H23" s="28"/>
      <c r="I23" s="31"/>
      <c r="J23" s="29"/>
      <c r="K23" s="28"/>
      <c r="L23" s="29"/>
      <c r="M23" s="33"/>
      <c r="N23" s="30"/>
      <c r="O23" s="30"/>
    </row>
    <row r="24" spans="1:15" ht="18" customHeight="1" x14ac:dyDescent="0.3">
      <c r="A24" s="22" t="s">
        <v>57</v>
      </c>
      <c r="B24" s="29">
        <v>383587.25</v>
      </c>
      <c r="C24" s="29">
        <v>15800</v>
      </c>
      <c r="D24" s="29">
        <v>520087.33999999997</v>
      </c>
      <c r="E24" s="29">
        <v>203893.03000000003</v>
      </c>
      <c r="F24" s="29">
        <v>47536.420000000013</v>
      </c>
      <c r="G24" s="28"/>
      <c r="H24" s="28"/>
      <c r="I24" s="31">
        <f t="shared" si="0"/>
        <v>1170904.04</v>
      </c>
      <c r="J24" s="29">
        <v>629875.02091619314</v>
      </c>
      <c r="K24" s="29">
        <v>193.66560294117858</v>
      </c>
      <c r="L24" s="29">
        <v>7405.9883167613625</v>
      </c>
      <c r="M24" s="33"/>
      <c r="N24" s="30">
        <f t="shared" si="1"/>
        <v>637474.67483589565</v>
      </c>
      <c r="O24" s="30">
        <f t="shared" si="2"/>
        <v>1808378.7148358957</v>
      </c>
    </row>
    <row r="25" spans="1:15" ht="18" customHeight="1" x14ac:dyDescent="0.3">
      <c r="A25" s="22" t="s">
        <v>58</v>
      </c>
      <c r="B25" s="29">
        <v>417055878.57999992</v>
      </c>
      <c r="C25" s="29">
        <v>6713259.7999999998</v>
      </c>
      <c r="D25" s="29">
        <v>3377101.47</v>
      </c>
      <c r="E25" s="29">
        <v>167015462.00999999</v>
      </c>
      <c r="F25" s="29">
        <f>43090042.24+1838.53</f>
        <v>43091880.770000003</v>
      </c>
      <c r="G25" s="29">
        <v>136172.25</v>
      </c>
      <c r="H25" s="29">
        <v>60000000</v>
      </c>
      <c r="I25" s="31">
        <f t="shared" si="0"/>
        <v>697389754.87999988</v>
      </c>
      <c r="J25" s="29">
        <v>11427732.522336647</v>
      </c>
      <c r="K25" s="29">
        <v>3513.6473676470741</v>
      </c>
      <c r="L25" s="29">
        <v>195766.44803267045</v>
      </c>
      <c r="M25" s="34">
        <v>1449050.5827837614</v>
      </c>
      <c r="N25" s="30">
        <f t="shared" si="1"/>
        <v>13076063.200520724</v>
      </c>
      <c r="O25" s="30">
        <f t="shared" si="2"/>
        <v>710465818.08052063</v>
      </c>
    </row>
    <row r="26" spans="1:15" ht="18" customHeight="1" x14ac:dyDescent="0.3">
      <c r="A26" s="22" t="s">
        <v>59</v>
      </c>
      <c r="B26" s="29">
        <v>2523288.67</v>
      </c>
      <c r="C26" s="29">
        <v>15035631.58</v>
      </c>
      <c r="D26" s="29">
        <v>972234.13</v>
      </c>
      <c r="E26" s="29">
        <v>13965693.569999997</v>
      </c>
      <c r="F26" s="29">
        <f>955750.89+2</f>
        <v>955752.89</v>
      </c>
      <c r="G26" s="29">
        <v>46000000</v>
      </c>
      <c r="H26" s="29">
        <v>74750066.760000005</v>
      </c>
      <c r="I26" s="31">
        <f t="shared" si="0"/>
        <v>154202667.60000002</v>
      </c>
      <c r="J26" s="29">
        <v>5308946.6048650546</v>
      </c>
      <c r="K26" s="29">
        <v>1632.3243676471011</v>
      </c>
      <c r="L26" s="29">
        <v>1700207.3215269886</v>
      </c>
      <c r="M26" s="34">
        <v>13819801.137877455</v>
      </c>
      <c r="N26" s="30">
        <f t="shared" si="1"/>
        <v>20830587.388637144</v>
      </c>
      <c r="O26" s="30">
        <f t="shared" si="2"/>
        <v>175033254.98863718</v>
      </c>
    </row>
    <row r="27" spans="1:15" ht="18" customHeight="1" x14ac:dyDescent="0.3">
      <c r="A27" s="22" t="s">
        <v>60</v>
      </c>
      <c r="B27" s="29">
        <v>1344371.47</v>
      </c>
      <c r="C27" s="29">
        <v>29660962.350000001</v>
      </c>
      <c r="D27" s="29">
        <v>259922</v>
      </c>
      <c r="E27" s="29">
        <v>5554489</v>
      </c>
      <c r="F27" s="29">
        <f>436459.13+6</f>
        <v>436465.13</v>
      </c>
      <c r="G27" s="28"/>
      <c r="H27" s="29">
        <v>553415.4</v>
      </c>
      <c r="I27" s="31">
        <f t="shared" si="0"/>
        <v>37809625.350000001</v>
      </c>
      <c r="J27" s="29">
        <v>2789446.5212002839</v>
      </c>
      <c r="K27" s="29">
        <v>857.66195588236496</v>
      </c>
      <c r="L27" s="29">
        <v>32797.948259943179</v>
      </c>
      <c r="M27" s="34">
        <v>353705.26036454021</v>
      </c>
      <c r="N27" s="30">
        <f t="shared" si="1"/>
        <v>3176807.3917806498</v>
      </c>
      <c r="O27" s="30">
        <f t="shared" si="2"/>
        <v>40986432.741780654</v>
      </c>
    </row>
    <row r="28" spans="1:15" ht="18" customHeight="1" x14ac:dyDescent="0.3">
      <c r="A28" s="22" t="s">
        <v>61</v>
      </c>
      <c r="B28" s="29">
        <v>1573675.25</v>
      </c>
      <c r="C28" s="29">
        <v>2720340.99</v>
      </c>
      <c r="D28" s="29">
        <v>675315.83000000007</v>
      </c>
      <c r="E28" s="29">
        <v>57765118.769999973</v>
      </c>
      <c r="F28" s="29">
        <f>30934371.23+9</f>
        <v>30934380.23</v>
      </c>
      <c r="G28" s="28"/>
      <c r="H28" s="28"/>
      <c r="I28" s="31">
        <f t="shared" si="0"/>
        <v>93668831.069999978</v>
      </c>
      <c r="J28" s="29">
        <v>4139178.708877841</v>
      </c>
      <c r="K28" s="29">
        <v>1272.6596764705882</v>
      </c>
      <c r="L28" s="29">
        <v>48667.923224431819</v>
      </c>
      <c r="M28" s="33"/>
      <c r="N28" s="30">
        <f t="shared" si="1"/>
        <v>4189119.2917787437</v>
      </c>
      <c r="O28" s="30">
        <f t="shared" si="2"/>
        <v>97857950.361778721</v>
      </c>
    </row>
    <row r="29" spans="1:15" ht="18" customHeight="1" x14ac:dyDescent="0.3">
      <c r="A29" s="22" t="s">
        <v>62</v>
      </c>
      <c r="B29" s="29">
        <v>5209727.26</v>
      </c>
      <c r="C29" s="29">
        <v>3266227.45</v>
      </c>
      <c r="D29" s="29">
        <v>15399461.760000002</v>
      </c>
      <c r="E29" s="29">
        <v>27733421.109999999</v>
      </c>
      <c r="F29" s="29">
        <f>14955702.02+1680.02</f>
        <v>14957382.039999999</v>
      </c>
      <c r="G29" s="28"/>
      <c r="H29" s="28"/>
      <c r="I29" s="31">
        <f t="shared" si="0"/>
        <v>66566219.619999997</v>
      </c>
      <c r="J29" s="29">
        <v>13947232.60600142</v>
      </c>
      <c r="K29" s="29">
        <v>4288.3097794118112</v>
      </c>
      <c r="L29" s="29">
        <v>163989.74129971591</v>
      </c>
      <c r="M29" s="34">
        <v>1768526.301822701</v>
      </c>
      <c r="N29" s="30">
        <f t="shared" si="1"/>
        <v>15884036.958903249</v>
      </c>
      <c r="O29" s="30">
        <f t="shared" si="2"/>
        <v>82450256.578903243</v>
      </c>
    </row>
    <row r="30" spans="1:15" ht="18" customHeight="1" x14ac:dyDescent="0.3">
      <c r="A30" s="22" t="s">
        <v>63</v>
      </c>
      <c r="B30" s="29">
        <v>3874203.7699999996</v>
      </c>
      <c r="C30" s="29">
        <v>2313961.6</v>
      </c>
      <c r="D30" s="29">
        <v>1263280.43</v>
      </c>
      <c r="E30" s="29">
        <v>6047408.3399999999</v>
      </c>
      <c r="F30" s="29">
        <f>1662948.92+3</f>
        <v>1662951.92</v>
      </c>
      <c r="G30" s="28"/>
      <c r="H30" s="28"/>
      <c r="I30" s="31">
        <f t="shared" si="0"/>
        <v>15161806.059999999</v>
      </c>
      <c r="J30" s="29">
        <v>9988018.1888139192</v>
      </c>
      <c r="K30" s="29">
        <v>3070.9831323529688</v>
      </c>
      <c r="L30" s="29">
        <v>117437.8147372159</v>
      </c>
      <c r="M30" s="34">
        <v>1266493.0290472247</v>
      </c>
      <c r="N30" s="30">
        <f t="shared" si="1"/>
        <v>11375020.015730713</v>
      </c>
      <c r="O30" s="30">
        <f t="shared" si="2"/>
        <v>26536826.075730711</v>
      </c>
    </row>
    <row r="31" spans="1:15" ht="18" customHeight="1" x14ac:dyDescent="0.3">
      <c r="A31" s="22" t="s">
        <v>64</v>
      </c>
      <c r="B31" s="29">
        <v>1756517.5</v>
      </c>
      <c r="C31" s="29">
        <v>764714.36</v>
      </c>
      <c r="D31" s="29">
        <v>67451.100000000006</v>
      </c>
      <c r="E31" s="29">
        <v>2440219.7999999998</v>
      </c>
      <c r="F31" s="29">
        <f>670615.71+2</f>
        <v>670617.71</v>
      </c>
      <c r="G31" s="29">
        <v>359999942</v>
      </c>
      <c r="H31" s="28"/>
      <c r="I31" s="31">
        <f t="shared" si="0"/>
        <v>365699462.47000003</v>
      </c>
      <c r="J31" s="29">
        <v>3509303.6879616473</v>
      </c>
      <c r="K31" s="29">
        <v>1078.9940735294331</v>
      </c>
      <c r="L31" s="29">
        <v>41261.934907670446</v>
      </c>
      <c r="M31" s="34">
        <v>444984.03723280865</v>
      </c>
      <c r="N31" s="30">
        <f t="shared" si="1"/>
        <v>3996628.6541756559</v>
      </c>
      <c r="O31" s="30">
        <f t="shared" si="2"/>
        <v>369696091.12417567</v>
      </c>
    </row>
    <row r="32" spans="1:15" ht="18" customHeight="1" x14ac:dyDescent="0.3">
      <c r="A32" s="22" t="s">
        <v>65</v>
      </c>
      <c r="B32" s="29">
        <v>1295913.8500000001</v>
      </c>
      <c r="C32" s="29">
        <v>7089219</v>
      </c>
      <c r="D32" s="29">
        <v>597434.92999999993</v>
      </c>
      <c r="E32" s="29">
        <v>30908170.420000002</v>
      </c>
      <c r="F32" s="29">
        <f>11199277.2+11</f>
        <v>11199288.199999999</v>
      </c>
      <c r="G32" s="29">
        <v>47907000</v>
      </c>
      <c r="H32" s="29">
        <f>44683191.5+27372140.13</f>
        <v>72055331.629999995</v>
      </c>
      <c r="I32" s="31">
        <f t="shared" si="0"/>
        <v>171052358.03</v>
      </c>
      <c r="J32" s="29">
        <v>4499107.2922585225</v>
      </c>
      <c r="K32" s="29">
        <v>1383.3257352941291</v>
      </c>
      <c r="L32" s="29">
        <v>171633.28654829547</v>
      </c>
      <c r="M32" s="34">
        <v>12282188.234983843</v>
      </c>
      <c r="N32" s="30">
        <f t="shared" si="1"/>
        <v>16954312.139525954</v>
      </c>
      <c r="O32" s="30">
        <f t="shared" si="2"/>
        <v>188006670.16952595</v>
      </c>
    </row>
    <row r="33" spans="1:15" ht="18" customHeight="1" x14ac:dyDescent="0.3">
      <c r="A33" s="22" t="s">
        <v>66</v>
      </c>
      <c r="B33" s="29">
        <v>1058918.5</v>
      </c>
      <c r="C33" s="29">
        <v>1842582.47</v>
      </c>
      <c r="D33" s="29">
        <v>16909709.710000001</v>
      </c>
      <c r="E33" s="29">
        <v>9526135.6400000006</v>
      </c>
      <c r="F33" s="29">
        <f>2853884.56+2</f>
        <v>2853886.56</v>
      </c>
      <c r="G33" s="29">
        <v>93510345.099999994</v>
      </c>
      <c r="H33" s="28"/>
      <c r="I33" s="31">
        <f t="shared" si="0"/>
        <v>125701577.97999999</v>
      </c>
      <c r="J33" s="29">
        <v>2069589.3544389205</v>
      </c>
      <c r="K33" s="29">
        <v>636.32983823529412</v>
      </c>
      <c r="L33" s="29">
        <v>24333.96161221591</v>
      </c>
      <c r="M33" s="33"/>
      <c r="N33" s="30">
        <f t="shared" si="1"/>
        <v>2094559.6458893719</v>
      </c>
      <c r="O33" s="30">
        <f t="shared" si="2"/>
        <v>127796137.62588936</v>
      </c>
    </row>
    <row r="34" spans="1:15" ht="18" customHeight="1" x14ac:dyDescent="0.3">
      <c r="A34" s="22" t="s">
        <v>67</v>
      </c>
      <c r="B34" s="29">
        <v>662557</v>
      </c>
      <c r="C34" s="29">
        <v>702188</v>
      </c>
      <c r="D34" s="29">
        <v>5650</v>
      </c>
      <c r="E34" s="29">
        <v>161726.34</v>
      </c>
      <c r="F34" s="29">
        <f>43898.98+1</f>
        <v>43899.98</v>
      </c>
      <c r="G34" s="28"/>
      <c r="H34" s="28"/>
      <c r="I34" s="31">
        <f t="shared" si="0"/>
        <v>1576021.32</v>
      </c>
      <c r="J34" s="29">
        <v>629875.02091619314</v>
      </c>
      <c r="K34" s="29">
        <v>193.66560294117858</v>
      </c>
      <c r="L34" s="29">
        <v>7405.9883167613625</v>
      </c>
      <c r="M34" s="33"/>
      <c r="N34" s="30">
        <f t="shared" si="1"/>
        <v>637474.67483589565</v>
      </c>
      <c r="O34" s="30">
        <f t="shared" si="2"/>
        <v>2213495.9948358955</v>
      </c>
    </row>
    <row r="35" spans="1:15" ht="18" customHeight="1" x14ac:dyDescent="0.3">
      <c r="A35" s="22" t="s">
        <v>68</v>
      </c>
      <c r="B35" s="29">
        <v>2722449.7199999997</v>
      </c>
      <c r="C35" s="29">
        <v>2105672.11</v>
      </c>
      <c r="D35" s="29">
        <v>229642.09</v>
      </c>
      <c r="E35" s="29">
        <v>27302862.709999997</v>
      </c>
      <c r="F35" s="29">
        <f>6738443.49+1</f>
        <v>6738444.4900000002</v>
      </c>
      <c r="G35" s="28"/>
      <c r="H35" s="28"/>
      <c r="I35" s="31">
        <f t="shared" si="0"/>
        <v>39099071.119999997</v>
      </c>
      <c r="J35" s="29">
        <v>2249553.6461292612</v>
      </c>
      <c r="K35" s="29">
        <v>691.66286764706456</v>
      </c>
      <c r="L35" s="29">
        <v>26449.958274147728</v>
      </c>
      <c r="M35" s="33"/>
      <c r="N35" s="30">
        <f t="shared" si="1"/>
        <v>2276695.2672710563</v>
      </c>
      <c r="O35" s="30">
        <f t="shared" si="2"/>
        <v>41375766.387271054</v>
      </c>
    </row>
    <row r="36" spans="1:15" ht="18" customHeight="1" x14ac:dyDescent="0.3">
      <c r="A36" s="22" t="s">
        <v>69</v>
      </c>
      <c r="B36" s="29">
        <v>3146898.67</v>
      </c>
      <c r="C36" s="29">
        <v>1214698.5</v>
      </c>
      <c r="D36" s="29">
        <v>2654901</v>
      </c>
      <c r="E36" s="29">
        <v>7990706.9800000004</v>
      </c>
      <c r="F36" s="29">
        <v>4867242.2599999979</v>
      </c>
      <c r="G36" s="28"/>
      <c r="H36" s="29">
        <v>17276189.649999999</v>
      </c>
      <c r="I36" s="31">
        <f t="shared" si="0"/>
        <v>37150637.059999995</v>
      </c>
      <c r="J36" s="29">
        <v>2609482.2295099427</v>
      </c>
      <c r="K36" s="28"/>
      <c r="L36" s="29">
        <v>30681.951598011368</v>
      </c>
      <c r="M36" s="33"/>
      <c r="N36" s="30">
        <f t="shared" si="1"/>
        <v>2640164.1811079541</v>
      </c>
      <c r="O36" s="30">
        <f t="shared" si="2"/>
        <v>39790801.241107948</v>
      </c>
    </row>
    <row r="37" spans="1:15" x14ac:dyDescent="0.3">
      <c r="A37" s="28"/>
      <c r="B37" s="30">
        <f>SUM(B8:B36)</f>
        <v>503128336.31</v>
      </c>
      <c r="C37" s="30">
        <f t="shared" ref="C37:O37" si="3">SUM(C8:C36)</f>
        <v>171704290.64000002</v>
      </c>
      <c r="D37" s="30">
        <f t="shared" si="3"/>
        <v>89474347.580000013</v>
      </c>
      <c r="E37" s="30">
        <f t="shared" si="3"/>
        <v>473182671.18999994</v>
      </c>
      <c r="F37" s="30">
        <f t="shared" si="3"/>
        <v>181554110.65999997</v>
      </c>
      <c r="G37" s="30">
        <f>SUM(G8:G36)</f>
        <v>559511298.35000002</v>
      </c>
      <c r="H37" s="30">
        <f t="shared" si="3"/>
        <v>732372280.91999996</v>
      </c>
      <c r="I37" s="30">
        <f>SUM(I8:I36)</f>
        <v>2710927335.6499996</v>
      </c>
      <c r="J37" s="30">
        <f t="shared" si="3"/>
        <v>126694861.34999999</v>
      </c>
      <c r="K37" s="30">
        <f t="shared" si="3"/>
        <v>18813.230000000189</v>
      </c>
      <c r="L37" s="30">
        <f t="shared" si="3"/>
        <v>3307581.1</v>
      </c>
      <c r="M37" s="35">
        <f>SUM(M8:M36)</f>
        <v>199276530.45999995</v>
      </c>
      <c r="N37" s="35">
        <f t="shared" si="3"/>
        <v>329297786.13999999</v>
      </c>
      <c r="O37" s="30">
        <f t="shared" si="3"/>
        <v>3040225121.79</v>
      </c>
    </row>
    <row r="39" spans="1:15" x14ac:dyDescent="0.3">
      <c r="F39" s="336">
        <f>SUM(C37+D37+E37+G37+H37)</f>
        <v>2026244888.6799998</v>
      </c>
      <c r="M39" s="336">
        <f>M37+G37</f>
        <v>758787828.80999994</v>
      </c>
    </row>
  </sheetData>
  <mergeCells count="17">
    <mergeCell ref="O2:O5"/>
    <mergeCell ref="B3:B5"/>
    <mergeCell ref="C3:C5"/>
    <mergeCell ref="D3:D5"/>
    <mergeCell ref="E3:E5"/>
    <mergeCell ref="F3:F5"/>
    <mergeCell ref="G3:G5"/>
    <mergeCell ref="N3:N5"/>
    <mergeCell ref="H3:H5"/>
    <mergeCell ref="I3:I5"/>
    <mergeCell ref="J3:J5"/>
    <mergeCell ref="K3:K5"/>
    <mergeCell ref="L3:L5"/>
    <mergeCell ref="M3:M5"/>
    <mergeCell ref="A2:A5"/>
    <mergeCell ref="B2:I2"/>
    <mergeCell ref="J2:M2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C6"/>
  <sheetViews>
    <sheetView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51.7109375" style="414" customWidth="1"/>
    <col min="2" max="2" width="7" style="415" customWidth="1"/>
    <col min="3" max="3" width="142" style="414" customWidth="1"/>
  </cols>
  <sheetData>
    <row r="1" spans="1:3" ht="21" x14ac:dyDescent="0.35">
      <c r="A1" s="85" t="s">
        <v>546</v>
      </c>
      <c r="B1" s="402"/>
      <c r="C1" s="403"/>
    </row>
    <row r="2" spans="1:3" ht="21" x14ac:dyDescent="0.35">
      <c r="A2" s="84" t="s">
        <v>644</v>
      </c>
      <c r="B2" s="402"/>
      <c r="C2" s="403"/>
    </row>
    <row r="3" spans="1:3" ht="21" x14ac:dyDescent="0.35">
      <c r="A3" s="542" t="s">
        <v>256</v>
      </c>
      <c r="B3" s="607" t="s">
        <v>579</v>
      </c>
      <c r="C3" s="608"/>
    </row>
    <row r="4" spans="1:3" ht="122.25" customHeight="1" x14ac:dyDescent="0.2">
      <c r="A4" s="416" t="s">
        <v>591</v>
      </c>
      <c r="B4" s="407" t="s">
        <v>579</v>
      </c>
      <c r="C4" s="421" t="s">
        <v>600</v>
      </c>
    </row>
    <row r="5" spans="1:3" ht="80.25" customHeight="1" x14ac:dyDescent="0.2">
      <c r="A5" s="416" t="s">
        <v>236</v>
      </c>
      <c r="B5" s="409" t="s">
        <v>579</v>
      </c>
      <c r="C5" s="422" t="s">
        <v>680</v>
      </c>
    </row>
    <row r="6" spans="1:3" ht="85.5" customHeight="1" x14ac:dyDescent="0.2">
      <c r="A6" s="411" t="s">
        <v>592</v>
      </c>
      <c r="B6" s="413" t="s">
        <v>579</v>
      </c>
      <c r="C6" s="319" t="s">
        <v>599</v>
      </c>
    </row>
  </sheetData>
  <mergeCells count="1">
    <mergeCell ref="B3:C3"/>
  </mergeCells>
  <pageMargins left="0" right="0" top="0.74803149606299213" bottom="0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43"/>
  <sheetViews>
    <sheetView view="pageBreakPreview" zoomScaleNormal="70" zoomScaleSheetLayoutView="100" workbookViewId="0">
      <pane xSplit="1" topLeftCell="J1" activePane="topRight" state="frozen"/>
      <selection pane="topRight" activeCell="O13" sqref="O13"/>
    </sheetView>
  </sheetViews>
  <sheetFormatPr defaultRowHeight="21" x14ac:dyDescent="0.35"/>
  <cols>
    <col min="1" max="1" width="21.42578125" style="52" customWidth="1"/>
    <col min="2" max="2" width="14" style="67" customWidth="1"/>
    <col min="3" max="3" width="13.42578125" style="67" customWidth="1"/>
    <col min="4" max="4" width="13.28515625" style="301" customWidth="1"/>
    <col min="5" max="5" width="13.42578125" style="67" customWidth="1"/>
    <col min="6" max="6" width="13.5703125" style="67" customWidth="1"/>
    <col min="7" max="7" width="13" style="67" customWidth="1"/>
    <col min="8" max="8" width="12.7109375" style="67" customWidth="1"/>
    <col min="9" max="9" width="14" style="83" customWidth="1"/>
    <col min="10" max="10" width="15.42578125" style="301" customWidth="1"/>
    <col min="11" max="11" width="15.5703125" style="40" customWidth="1"/>
    <col min="12" max="12" width="14" style="67" customWidth="1"/>
    <col min="13" max="13" width="13.42578125" style="67" customWidth="1"/>
    <col min="14" max="14" width="13.28515625" style="301" customWidth="1"/>
    <col min="15" max="15" width="13.42578125" style="67" customWidth="1"/>
    <col min="16" max="16" width="13.5703125" style="67" customWidth="1"/>
    <col min="17" max="17" width="13" style="67" customWidth="1"/>
    <col min="18" max="18" width="13.28515625" style="67" bestFit="1" customWidth="1"/>
    <col min="19" max="19" width="14" style="83" customWidth="1"/>
    <col min="20" max="20" width="15.42578125" style="301" customWidth="1"/>
    <col min="21" max="21" width="15.5703125" style="40" customWidth="1"/>
    <col min="22" max="22" width="6.7109375" style="52" customWidth="1"/>
    <col min="23" max="23" width="6.85546875" style="52" customWidth="1"/>
    <col min="24" max="24" width="7" style="84" customWidth="1"/>
    <col min="25" max="256" width="9.140625" style="52"/>
    <col min="257" max="257" width="21.42578125" style="52" customWidth="1"/>
    <col min="258" max="258" width="14" style="52" customWidth="1"/>
    <col min="259" max="259" width="14.7109375" style="52" customWidth="1"/>
    <col min="260" max="260" width="13.7109375" style="52" customWidth="1"/>
    <col min="261" max="261" width="13.28515625" style="52" customWidth="1"/>
    <col min="262" max="262" width="12.5703125" style="52" customWidth="1"/>
    <col min="263" max="263" width="14" style="52" customWidth="1"/>
    <col min="264" max="264" width="13.7109375" style="52" customWidth="1"/>
    <col min="265" max="265" width="14" style="52" customWidth="1"/>
    <col min="266" max="266" width="15.5703125" style="52" customWidth="1"/>
    <col min="267" max="267" width="15.42578125" style="52" customWidth="1"/>
    <col min="268" max="268" width="14" style="52" customWidth="1"/>
    <col min="269" max="269" width="13.42578125" style="52" customWidth="1"/>
    <col min="270" max="270" width="13.28515625" style="52" customWidth="1"/>
    <col min="271" max="271" width="13.42578125" style="52" customWidth="1"/>
    <col min="272" max="272" width="13.5703125" style="52" customWidth="1"/>
    <col min="273" max="273" width="13" style="52" customWidth="1"/>
    <col min="274" max="274" width="12.7109375" style="52" customWidth="1"/>
    <col min="275" max="275" width="14" style="52" customWidth="1"/>
    <col min="276" max="276" width="15.42578125" style="52" customWidth="1"/>
    <col min="277" max="277" width="15.5703125" style="52" customWidth="1"/>
    <col min="278" max="278" width="6.7109375" style="52" customWidth="1"/>
    <col min="279" max="279" width="6.85546875" style="52" customWidth="1"/>
    <col min="280" max="280" width="7" style="52" customWidth="1"/>
    <col min="281" max="512" width="9.140625" style="52"/>
    <col min="513" max="513" width="21.42578125" style="52" customWidth="1"/>
    <col min="514" max="514" width="14" style="52" customWidth="1"/>
    <col min="515" max="515" width="14.7109375" style="52" customWidth="1"/>
    <col min="516" max="516" width="13.7109375" style="52" customWidth="1"/>
    <col min="517" max="517" width="13.28515625" style="52" customWidth="1"/>
    <col min="518" max="518" width="12.5703125" style="52" customWidth="1"/>
    <col min="519" max="519" width="14" style="52" customWidth="1"/>
    <col min="520" max="520" width="13.7109375" style="52" customWidth="1"/>
    <col min="521" max="521" width="14" style="52" customWidth="1"/>
    <col min="522" max="522" width="15.5703125" style="52" customWidth="1"/>
    <col min="523" max="523" width="15.42578125" style="52" customWidth="1"/>
    <col min="524" max="524" width="14" style="52" customWidth="1"/>
    <col min="525" max="525" width="13.42578125" style="52" customWidth="1"/>
    <col min="526" max="526" width="13.28515625" style="52" customWidth="1"/>
    <col min="527" max="527" width="13.42578125" style="52" customWidth="1"/>
    <col min="528" max="528" width="13.5703125" style="52" customWidth="1"/>
    <col min="529" max="529" width="13" style="52" customWidth="1"/>
    <col min="530" max="530" width="12.7109375" style="52" customWidth="1"/>
    <col min="531" max="531" width="14" style="52" customWidth="1"/>
    <col min="532" max="532" width="15.42578125" style="52" customWidth="1"/>
    <col min="533" max="533" width="15.5703125" style="52" customWidth="1"/>
    <col min="534" max="534" width="6.7109375" style="52" customWidth="1"/>
    <col min="535" max="535" width="6.85546875" style="52" customWidth="1"/>
    <col min="536" max="536" width="7" style="52" customWidth="1"/>
    <col min="537" max="768" width="9.140625" style="52"/>
    <col min="769" max="769" width="21.42578125" style="52" customWidth="1"/>
    <col min="770" max="770" width="14" style="52" customWidth="1"/>
    <col min="771" max="771" width="14.7109375" style="52" customWidth="1"/>
    <col min="772" max="772" width="13.7109375" style="52" customWidth="1"/>
    <col min="773" max="773" width="13.28515625" style="52" customWidth="1"/>
    <col min="774" max="774" width="12.5703125" style="52" customWidth="1"/>
    <col min="775" max="775" width="14" style="52" customWidth="1"/>
    <col min="776" max="776" width="13.7109375" style="52" customWidth="1"/>
    <col min="777" max="777" width="14" style="52" customWidth="1"/>
    <col min="778" max="778" width="15.5703125" style="52" customWidth="1"/>
    <col min="779" max="779" width="15.42578125" style="52" customWidth="1"/>
    <col min="780" max="780" width="14" style="52" customWidth="1"/>
    <col min="781" max="781" width="13.42578125" style="52" customWidth="1"/>
    <col min="782" max="782" width="13.28515625" style="52" customWidth="1"/>
    <col min="783" max="783" width="13.42578125" style="52" customWidth="1"/>
    <col min="784" max="784" width="13.5703125" style="52" customWidth="1"/>
    <col min="785" max="785" width="13" style="52" customWidth="1"/>
    <col min="786" max="786" width="12.7109375" style="52" customWidth="1"/>
    <col min="787" max="787" width="14" style="52" customWidth="1"/>
    <col min="788" max="788" width="15.42578125" style="52" customWidth="1"/>
    <col min="789" max="789" width="15.5703125" style="52" customWidth="1"/>
    <col min="790" max="790" width="6.7109375" style="52" customWidth="1"/>
    <col min="791" max="791" width="6.85546875" style="52" customWidth="1"/>
    <col min="792" max="792" width="7" style="52" customWidth="1"/>
    <col min="793" max="1024" width="9.140625" style="52"/>
    <col min="1025" max="1025" width="21.42578125" style="52" customWidth="1"/>
    <col min="1026" max="1026" width="14" style="52" customWidth="1"/>
    <col min="1027" max="1027" width="14.7109375" style="52" customWidth="1"/>
    <col min="1028" max="1028" width="13.7109375" style="52" customWidth="1"/>
    <col min="1029" max="1029" width="13.28515625" style="52" customWidth="1"/>
    <col min="1030" max="1030" width="12.5703125" style="52" customWidth="1"/>
    <col min="1031" max="1031" width="14" style="52" customWidth="1"/>
    <col min="1032" max="1032" width="13.7109375" style="52" customWidth="1"/>
    <col min="1033" max="1033" width="14" style="52" customWidth="1"/>
    <col min="1034" max="1034" width="15.5703125" style="52" customWidth="1"/>
    <col min="1035" max="1035" width="15.42578125" style="52" customWidth="1"/>
    <col min="1036" max="1036" width="14" style="52" customWidth="1"/>
    <col min="1037" max="1037" width="13.42578125" style="52" customWidth="1"/>
    <col min="1038" max="1038" width="13.28515625" style="52" customWidth="1"/>
    <col min="1039" max="1039" width="13.42578125" style="52" customWidth="1"/>
    <col min="1040" max="1040" width="13.5703125" style="52" customWidth="1"/>
    <col min="1041" max="1041" width="13" style="52" customWidth="1"/>
    <col min="1042" max="1042" width="12.7109375" style="52" customWidth="1"/>
    <col min="1043" max="1043" width="14" style="52" customWidth="1"/>
    <col min="1044" max="1044" width="15.42578125" style="52" customWidth="1"/>
    <col min="1045" max="1045" width="15.5703125" style="52" customWidth="1"/>
    <col min="1046" max="1046" width="6.7109375" style="52" customWidth="1"/>
    <col min="1047" max="1047" width="6.85546875" style="52" customWidth="1"/>
    <col min="1048" max="1048" width="7" style="52" customWidth="1"/>
    <col min="1049" max="1280" width="9.140625" style="52"/>
    <col min="1281" max="1281" width="21.42578125" style="52" customWidth="1"/>
    <col min="1282" max="1282" width="14" style="52" customWidth="1"/>
    <col min="1283" max="1283" width="14.7109375" style="52" customWidth="1"/>
    <col min="1284" max="1284" width="13.7109375" style="52" customWidth="1"/>
    <col min="1285" max="1285" width="13.28515625" style="52" customWidth="1"/>
    <col min="1286" max="1286" width="12.5703125" style="52" customWidth="1"/>
    <col min="1287" max="1287" width="14" style="52" customWidth="1"/>
    <col min="1288" max="1288" width="13.7109375" style="52" customWidth="1"/>
    <col min="1289" max="1289" width="14" style="52" customWidth="1"/>
    <col min="1290" max="1290" width="15.5703125" style="52" customWidth="1"/>
    <col min="1291" max="1291" width="15.42578125" style="52" customWidth="1"/>
    <col min="1292" max="1292" width="14" style="52" customWidth="1"/>
    <col min="1293" max="1293" width="13.42578125" style="52" customWidth="1"/>
    <col min="1294" max="1294" width="13.28515625" style="52" customWidth="1"/>
    <col min="1295" max="1295" width="13.42578125" style="52" customWidth="1"/>
    <col min="1296" max="1296" width="13.5703125" style="52" customWidth="1"/>
    <col min="1297" max="1297" width="13" style="52" customWidth="1"/>
    <col min="1298" max="1298" width="12.7109375" style="52" customWidth="1"/>
    <col min="1299" max="1299" width="14" style="52" customWidth="1"/>
    <col min="1300" max="1300" width="15.42578125" style="52" customWidth="1"/>
    <col min="1301" max="1301" width="15.5703125" style="52" customWidth="1"/>
    <col min="1302" max="1302" width="6.7109375" style="52" customWidth="1"/>
    <col min="1303" max="1303" width="6.85546875" style="52" customWidth="1"/>
    <col min="1304" max="1304" width="7" style="52" customWidth="1"/>
    <col min="1305" max="1536" width="9.140625" style="52"/>
    <col min="1537" max="1537" width="21.42578125" style="52" customWidth="1"/>
    <col min="1538" max="1538" width="14" style="52" customWidth="1"/>
    <col min="1539" max="1539" width="14.7109375" style="52" customWidth="1"/>
    <col min="1540" max="1540" width="13.7109375" style="52" customWidth="1"/>
    <col min="1541" max="1541" width="13.28515625" style="52" customWidth="1"/>
    <col min="1542" max="1542" width="12.5703125" style="52" customWidth="1"/>
    <col min="1543" max="1543" width="14" style="52" customWidth="1"/>
    <col min="1544" max="1544" width="13.7109375" style="52" customWidth="1"/>
    <col min="1545" max="1545" width="14" style="52" customWidth="1"/>
    <col min="1546" max="1546" width="15.5703125" style="52" customWidth="1"/>
    <col min="1547" max="1547" width="15.42578125" style="52" customWidth="1"/>
    <col min="1548" max="1548" width="14" style="52" customWidth="1"/>
    <col min="1549" max="1549" width="13.42578125" style="52" customWidth="1"/>
    <col min="1550" max="1550" width="13.28515625" style="52" customWidth="1"/>
    <col min="1551" max="1551" width="13.42578125" style="52" customWidth="1"/>
    <col min="1552" max="1552" width="13.5703125" style="52" customWidth="1"/>
    <col min="1553" max="1553" width="13" style="52" customWidth="1"/>
    <col min="1554" max="1554" width="12.7109375" style="52" customWidth="1"/>
    <col min="1555" max="1555" width="14" style="52" customWidth="1"/>
    <col min="1556" max="1556" width="15.42578125" style="52" customWidth="1"/>
    <col min="1557" max="1557" width="15.5703125" style="52" customWidth="1"/>
    <col min="1558" max="1558" width="6.7109375" style="52" customWidth="1"/>
    <col min="1559" max="1559" width="6.85546875" style="52" customWidth="1"/>
    <col min="1560" max="1560" width="7" style="52" customWidth="1"/>
    <col min="1561" max="1792" width="9.140625" style="52"/>
    <col min="1793" max="1793" width="21.42578125" style="52" customWidth="1"/>
    <col min="1794" max="1794" width="14" style="52" customWidth="1"/>
    <col min="1795" max="1795" width="14.7109375" style="52" customWidth="1"/>
    <col min="1796" max="1796" width="13.7109375" style="52" customWidth="1"/>
    <col min="1797" max="1797" width="13.28515625" style="52" customWidth="1"/>
    <col min="1798" max="1798" width="12.5703125" style="52" customWidth="1"/>
    <col min="1799" max="1799" width="14" style="52" customWidth="1"/>
    <col min="1800" max="1800" width="13.7109375" style="52" customWidth="1"/>
    <col min="1801" max="1801" width="14" style="52" customWidth="1"/>
    <col min="1802" max="1802" width="15.5703125" style="52" customWidth="1"/>
    <col min="1803" max="1803" width="15.42578125" style="52" customWidth="1"/>
    <col min="1804" max="1804" width="14" style="52" customWidth="1"/>
    <col min="1805" max="1805" width="13.42578125" style="52" customWidth="1"/>
    <col min="1806" max="1806" width="13.28515625" style="52" customWidth="1"/>
    <col min="1807" max="1807" width="13.42578125" style="52" customWidth="1"/>
    <col min="1808" max="1808" width="13.5703125" style="52" customWidth="1"/>
    <col min="1809" max="1809" width="13" style="52" customWidth="1"/>
    <col min="1810" max="1810" width="12.7109375" style="52" customWidth="1"/>
    <col min="1811" max="1811" width="14" style="52" customWidth="1"/>
    <col min="1812" max="1812" width="15.42578125" style="52" customWidth="1"/>
    <col min="1813" max="1813" width="15.5703125" style="52" customWidth="1"/>
    <col min="1814" max="1814" width="6.7109375" style="52" customWidth="1"/>
    <col min="1815" max="1815" width="6.85546875" style="52" customWidth="1"/>
    <col min="1816" max="1816" width="7" style="52" customWidth="1"/>
    <col min="1817" max="2048" width="9.140625" style="52"/>
    <col min="2049" max="2049" width="21.42578125" style="52" customWidth="1"/>
    <col min="2050" max="2050" width="14" style="52" customWidth="1"/>
    <col min="2051" max="2051" width="14.7109375" style="52" customWidth="1"/>
    <col min="2052" max="2052" width="13.7109375" style="52" customWidth="1"/>
    <col min="2053" max="2053" width="13.28515625" style="52" customWidth="1"/>
    <col min="2054" max="2054" width="12.5703125" style="52" customWidth="1"/>
    <col min="2055" max="2055" width="14" style="52" customWidth="1"/>
    <col min="2056" max="2056" width="13.7109375" style="52" customWidth="1"/>
    <col min="2057" max="2057" width="14" style="52" customWidth="1"/>
    <col min="2058" max="2058" width="15.5703125" style="52" customWidth="1"/>
    <col min="2059" max="2059" width="15.42578125" style="52" customWidth="1"/>
    <col min="2060" max="2060" width="14" style="52" customWidth="1"/>
    <col min="2061" max="2061" width="13.42578125" style="52" customWidth="1"/>
    <col min="2062" max="2062" width="13.28515625" style="52" customWidth="1"/>
    <col min="2063" max="2063" width="13.42578125" style="52" customWidth="1"/>
    <col min="2064" max="2064" width="13.5703125" style="52" customWidth="1"/>
    <col min="2065" max="2065" width="13" style="52" customWidth="1"/>
    <col min="2066" max="2066" width="12.7109375" style="52" customWidth="1"/>
    <col min="2067" max="2067" width="14" style="52" customWidth="1"/>
    <col min="2068" max="2068" width="15.42578125" style="52" customWidth="1"/>
    <col min="2069" max="2069" width="15.5703125" style="52" customWidth="1"/>
    <col min="2070" max="2070" width="6.7109375" style="52" customWidth="1"/>
    <col min="2071" max="2071" width="6.85546875" style="52" customWidth="1"/>
    <col min="2072" max="2072" width="7" style="52" customWidth="1"/>
    <col min="2073" max="2304" width="9.140625" style="52"/>
    <col min="2305" max="2305" width="21.42578125" style="52" customWidth="1"/>
    <col min="2306" max="2306" width="14" style="52" customWidth="1"/>
    <col min="2307" max="2307" width="14.7109375" style="52" customWidth="1"/>
    <col min="2308" max="2308" width="13.7109375" style="52" customWidth="1"/>
    <col min="2309" max="2309" width="13.28515625" style="52" customWidth="1"/>
    <col min="2310" max="2310" width="12.5703125" style="52" customWidth="1"/>
    <col min="2311" max="2311" width="14" style="52" customWidth="1"/>
    <col min="2312" max="2312" width="13.7109375" style="52" customWidth="1"/>
    <col min="2313" max="2313" width="14" style="52" customWidth="1"/>
    <col min="2314" max="2314" width="15.5703125" style="52" customWidth="1"/>
    <col min="2315" max="2315" width="15.42578125" style="52" customWidth="1"/>
    <col min="2316" max="2316" width="14" style="52" customWidth="1"/>
    <col min="2317" max="2317" width="13.42578125" style="52" customWidth="1"/>
    <col min="2318" max="2318" width="13.28515625" style="52" customWidth="1"/>
    <col min="2319" max="2319" width="13.42578125" style="52" customWidth="1"/>
    <col min="2320" max="2320" width="13.5703125" style="52" customWidth="1"/>
    <col min="2321" max="2321" width="13" style="52" customWidth="1"/>
    <col min="2322" max="2322" width="12.7109375" style="52" customWidth="1"/>
    <col min="2323" max="2323" width="14" style="52" customWidth="1"/>
    <col min="2324" max="2324" width="15.42578125" style="52" customWidth="1"/>
    <col min="2325" max="2325" width="15.5703125" style="52" customWidth="1"/>
    <col min="2326" max="2326" width="6.7109375" style="52" customWidth="1"/>
    <col min="2327" max="2327" width="6.85546875" style="52" customWidth="1"/>
    <col min="2328" max="2328" width="7" style="52" customWidth="1"/>
    <col min="2329" max="2560" width="9.140625" style="52"/>
    <col min="2561" max="2561" width="21.42578125" style="52" customWidth="1"/>
    <col min="2562" max="2562" width="14" style="52" customWidth="1"/>
    <col min="2563" max="2563" width="14.7109375" style="52" customWidth="1"/>
    <col min="2564" max="2564" width="13.7109375" style="52" customWidth="1"/>
    <col min="2565" max="2565" width="13.28515625" style="52" customWidth="1"/>
    <col min="2566" max="2566" width="12.5703125" style="52" customWidth="1"/>
    <col min="2567" max="2567" width="14" style="52" customWidth="1"/>
    <col min="2568" max="2568" width="13.7109375" style="52" customWidth="1"/>
    <col min="2569" max="2569" width="14" style="52" customWidth="1"/>
    <col min="2570" max="2570" width="15.5703125" style="52" customWidth="1"/>
    <col min="2571" max="2571" width="15.42578125" style="52" customWidth="1"/>
    <col min="2572" max="2572" width="14" style="52" customWidth="1"/>
    <col min="2573" max="2573" width="13.42578125" style="52" customWidth="1"/>
    <col min="2574" max="2574" width="13.28515625" style="52" customWidth="1"/>
    <col min="2575" max="2575" width="13.42578125" style="52" customWidth="1"/>
    <col min="2576" max="2576" width="13.5703125" style="52" customWidth="1"/>
    <col min="2577" max="2577" width="13" style="52" customWidth="1"/>
    <col min="2578" max="2578" width="12.7109375" style="52" customWidth="1"/>
    <col min="2579" max="2579" width="14" style="52" customWidth="1"/>
    <col min="2580" max="2580" width="15.42578125" style="52" customWidth="1"/>
    <col min="2581" max="2581" width="15.5703125" style="52" customWidth="1"/>
    <col min="2582" max="2582" width="6.7109375" style="52" customWidth="1"/>
    <col min="2583" max="2583" width="6.85546875" style="52" customWidth="1"/>
    <col min="2584" max="2584" width="7" style="52" customWidth="1"/>
    <col min="2585" max="2816" width="9.140625" style="52"/>
    <col min="2817" max="2817" width="21.42578125" style="52" customWidth="1"/>
    <col min="2818" max="2818" width="14" style="52" customWidth="1"/>
    <col min="2819" max="2819" width="14.7109375" style="52" customWidth="1"/>
    <col min="2820" max="2820" width="13.7109375" style="52" customWidth="1"/>
    <col min="2821" max="2821" width="13.28515625" style="52" customWidth="1"/>
    <col min="2822" max="2822" width="12.5703125" style="52" customWidth="1"/>
    <col min="2823" max="2823" width="14" style="52" customWidth="1"/>
    <col min="2824" max="2824" width="13.7109375" style="52" customWidth="1"/>
    <col min="2825" max="2825" width="14" style="52" customWidth="1"/>
    <col min="2826" max="2826" width="15.5703125" style="52" customWidth="1"/>
    <col min="2827" max="2827" width="15.42578125" style="52" customWidth="1"/>
    <col min="2828" max="2828" width="14" style="52" customWidth="1"/>
    <col min="2829" max="2829" width="13.42578125" style="52" customWidth="1"/>
    <col min="2830" max="2830" width="13.28515625" style="52" customWidth="1"/>
    <col min="2831" max="2831" width="13.42578125" style="52" customWidth="1"/>
    <col min="2832" max="2832" width="13.5703125" style="52" customWidth="1"/>
    <col min="2833" max="2833" width="13" style="52" customWidth="1"/>
    <col min="2834" max="2834" width="12.7109375" style="52" customWidth="1"/>
    <col min="2835" max="2835" width="14" style="52" customWidth="1"/>
    <col min="2836" max="2836" width="15.42578125" style="52" customWidth="1"/>
    <col min="2837" max="2837" width="15.5703125" style="52" customWidth="1"/>
    <col min="2838" max="2838" width="6.7109375" style="52" customWidth="1"/>
    <col min="2839" max="2839" width="6.85546875" style="52" customWidth="1"/>
    <col min="2840" max="2840" width="7" style="52" customWidth="1"/>
    <col min="2841" max="3072" width="9.140625" style="52"/>
    <col min="3073" max="3073" width="21.42578125" style="52" customWidth="1"/>
    <col min="3074" max="3074" width="14" style="52" customWidth="1"/>
    <col min="3075" max="3075" width="14.7109375" style="52" customWidth="1"/>
    <col min="3076" max="3076" width="13.7109375" style="52" customWidth="1"/>
    <col min="3077" max="3077" width="13.28515625" style="52" customWidth="1"/>
    <col min="3078" max="3078" width="12.5703125" style="52" customWidth="1"/>
    <col min="3079" max="3079" width="14" style="52" customWidth="1"/>
    <col min="3080" max="3080" width="13.7109375" style="52" customWidth="1"/>
    <col min="3081" max="3081" width="14" style="52" customWidth="1"/>
    <col min="3082" max="3082" width="15.5703125" style="52" customWidth="1"/>
    <col min="3083" max="3083" width="15.42578125" style="52" customWidth="1"/>
    <col min="3084" max="3084" width="14" style="52" customWidth="1"/>
    <col min="3085" max="3085" width="13.42578125" style="52" customWidth="1"/>
    <col min="3086" max="3086" width="13.28515625" style="52" customWidth="1"/>
    <col min="3087" max="3087" width="13.42578125" style="52" customWidth="1"/>
    <col min="3088" max="3088" width="13.5703125" style="52" customWidth="1"/>
    <col min="3089" max="3089" width="13" style="52" customWidth="1"/>
    <col min="3090" max="3090" width="12.7109375" style="52" customWidth="1"/>
    <col min="3091" max="3091" width="14" style="52" customWidth="1"/>
    <col min="3092" max="3092" width="15.42578125" style="52" customWidth="1"/>
    <col min="3093" max="3093" width="15.5703125" style="52" customWidth="1"/>
    <col min="3094" max="3094" width="6.7109375" style="52" customWidth="1"/>
    <col min="3095" max="3095" width="6.85546875" style="52" customWidth="1"/>
    <col min="3096" max="3096" width="7" style="52" customWidth="1"/>
    <col min="3097" max="3328" width="9.140625" style="52"/>
    <col min="3329" max="3329" width="21.42578125" style="52" customWidth="1"/>
    <col min="3330" max="3330" width="14" style="52" customWidth="1"/>
    <col min="3331" max="3331" width="14.7109375" style="52" customWidth="1"/>
    <col min="3332" max="3332" width="13.7109375" style="52" customWidth="1"/>
    <col min="3333" max="3333" width="13.28515625" style="52" customWidth="1"/>
    <col min="3334" max="3334" width="12.5703125" style="52" customWidth="1"/>
    <col min="3335" max="3335" width="14" style="52" customWidth="1"/>
    <col min="3336" max="3336" width="13.7109375" style="52" customWidth="1"/>
    <col min="3337" max="3337" width="14" style="52" customWidth="1"/>
    <col min="3338" max="3338" width="15.5703125" style="52" customWidth="1"/>
    <col min="3339" max="3339" width="15.42578125" style="52" customWidth="1"/>
    <col min="3340" max="3340" width="14" style="52" customWidth="1"/>
    <col min="3341" max="3341" width="13.42578125" style="52" customWidth="1"/>
    <col min="3342" max="3342" width="13.28515625" style="52" customWidth="1"/>
    <col min="3343" max="3343" width="13.42578125" style="52" customWidth="1"/>
    <col min="3344" max="3344" width="13.5703125" style="52" customWidth="1"/>
    <col min="3345" max="3345" width="13" style="52" customWidth="1"/>
    <col min="3346" max="3346" width="12.7109375" style="52" customWidth="1"/>
    <col min="3347" max="3347" width="14" style="52" customWidth="1"/>
    <col min="3348" max="3348" width="15.42578125" style="52" customWidth="1"/>
    <col min="3349" max="3349" width="15.5703125" style="52" customWidth="1"/>
    <col min="3350" max="3350" width="6.7109375" style="52" customWidth="1"/>
    <col min="3351" max="3351" width="6.85546875" style="52" customWidth="1"/>
    <col min="3352" max="3352" width="7" style="52" customWidth="1"/>
    <col min="3353" max="3584" width="9.140625" style="52"/>
    <col min="3585" max="3585" width="21.42578125" style="52" customWidth="1"/>
    <col min="3586" max="3586" width="14" style="52" customWidth="1"/>
    <col min="3587" max="3587" width="14.7109375" style="52" customWidth="1"/>
    <col min="3588" max="3588" width="13.7109375" style="52" customWidth="1"/>
    <col min="3589" max="3589" width="13.28515625" style="52" customWidth="1"/>
    <col min="3590" max="3590" width="12.5703125" style="52" customWidth="1"/>
    <col min="3591" max="3591" width="14" style="52" customWidth="1"/>
    <col min="3592" max="3592" width="13.7109375" style="52" customWidth="1"/>
    <col min="3593" max="3593" width="14" style="52" customWidth="1"/>
    <col min="3594" max="3594" width="15.5703125" style="52" customWidth="1"/>
    <col min="3595" max="3595" width="15.42578125" style="52" customWidth="1"/>
    <col min="3596" max="3596" width="14" style="52" customWidth="1"/>
    <col min="3597" max="3597" width="13.42578125" style="52" customWidth="1"/>
    <col min="3598" max="3598" width="13.28515625" style="52" customWidth="1"/>
    <col min="3599" max="3599" width="13.42578125" style="52" customWidth="1"/>
    <col min="3600" max="3600" width="13.5703125" style="52" customWidth="1"/>
    <col min="3601" max="3601" width="13" style="52" customWidth="1"/>
    <col min="3602" max="3602" width="12.7109375" style="52" customWidth="1"/>
    <col min="3603" max="3603" width="14" style="52" customWidth="1"/>
    <col min="3604" max="3604" width="15.42578125" style="52" customWidth="1"/>
    <col min="3605" max="3605" width="15.5703125" style="52" customWidth="1"/>
    <col min="3606" max="3606" width="6.7109375" style="52" customWidth="1"/>
    <col min="3607" max="3607" width="6.85546875" style="52" customWidth="1"/>
    <col min="3608" max="3608" width="7" style="52" customWidth="1"/>
    <col min="3609" max="3840" width="9.140625" style="52"/>
    <col min="3841" max="3841" width="21.42578125" style="52" customWidth="1"/>
    <col min="3842" max="3842" width="14" style="52" customWidth="1"/>
    <col min="3843" max="3843" width="14.7109375" style="52" customWidth="1"/>
    <col min="3844" max="3844" width="13.7109375" style="52" customWidth="1"/>
    <col min="3845" max="3845" width="13.28515625" style="52" customWidth="1"/>
    <col min="3846" max="3846" width="12.5703125" style="52" customWidth="1"/>
    <col min="3847" max="3847" width="14" style="52" customWidth="1"/>
    <col min="3848" max="3848" width="13.7109375" style="52" customWidth="1"/>
    <col min="3849" max="3849" width="14" style="52" customWidth="1"/>
    <col min="3850" max="3850" width="15.5703125" style="52" customWidth="1"/>
    <col min="3851" max="3851" width="15.42578125" style="52" customWidth="1"/>
    <col min="3852" max="3852" width="14" style="52" customWidth="1"/>
    <col min="3853" max="3853" width="13.42578125" style="52" customWidth="1"/>
    <col min="3854" max="3854" width="13.28515625" style="52" customWidth="1"/>
    <col min="3855" max="3855" width="13.42578125" style="52" customWidth="1"/>
    <col min="3856" max="3856" width="13.5703125" style="52" customWidth="1"/>
    <col min="3857" max="3857" width="13" style="52" customWidth="1"/>
    <col min="3858" max="3858" width="12.7109375" style="52" customWidth="1"/>
    <col min="3859" max="3859" width="14" style="52" customWidth="1"/>
    <col min="3860" max="3860" width="15.42578125" style="52" customWidth="1"/>
    <col min="3861" max="3861" width="15.5703125" style="52" customWidth="1"/>
    <col min="3862" max="3862" width="6.7109375" style="52" customWidth="1"/>
    <col min="3863" max="3863" width="6.85546875" style="52" customWidth="1"/>
    <col min="3864" max="3864" width="7" style="52" customWidth="1"/>
    <col min="3865" max="4096" width="9.140625" style="52"/>
    <col min="4097" max="4097" width="21.42578125" style="52" customWidth="1"/>
    <col min="4098" max="4098" width="14" style="52" customWidth="1"/>
    <col min="4099" max="4099" width="14.7109375" style="52" customWidth="1"/>
    <col min="4100" max="4100" width="13.7109375" style="52" customWidth="1"/>
    <col min="4101" max="4101" width="13.28515625" style="52" customWidth="1"/>
    <col min="4102" max="4102" width="12.5703125" style="52" customWidth="1"/>
    <col min="4103" max="4103" width="14" style="52" customWidth="1"/>
    <col min="4104" max="4104" width="13.7109375" style="52" customWidth="1"/>
    <col min="4105" max="4105" width="14" style="52" customWidth="1"/>
    <col min="4106" max="4106" width="15.5703125" style="52" customWidth="1"/>
    <col min="4107" max="4107" width="15.42578125" style="52" customWidth="1"/>
    <col min="4108" max="4108" width="14" style="52" customWidth="1"/>
    <col min="4109" max="4109" width="13.42578125" style="52" customWidth="1"/>
    <col min="4110" max="4110" width="13.28515625" style="52" customWidth="1"/>
    <col min="4111" max="4111" width="13.42578125" style="52" customWidth="1"/>
    <col min="4112" max="4112" width="13.5703125" style="52" customWidth="1"/>
    <col min="4113" max="4113" width="13" style="52" customWidth="1"/>
    <col min="4114" max="4114" width="12.7109375" style="52" customWidth="1"/>
    <col min="4115" max="4115" width="14" style="52" customWidth="1"/>
    <col min="4116" max="4116" width="15.42578125" style="52" customWidth="1"/>
    <col min="4117" max="4117" width="15.5703125" style="52" customWidth="1"/>
    <col min="4118" max="4118" width="6.7109375" style="52" customWidth="1"/>
    <col min="4119" max="4119" width="6.85546875" style="52" customWidth="1"/>
    <col min="4120" max="4120" width="7" style="52" customWidth="1"/>
    <col min="4121" max="4352" width="9.140625" style="52"/>
    <col min="4353" max="4353" width="21.42578125" style="52" customWidth="1"/>
    <col min="4354" max="4354" width="14" style="52" customWidth="1"/>
    <col min="4355" max="4355" width="14.7109375" style="52" customWidth="1"/>
    <col min="4356" max="4356" width="13.7109375" style="52" customWidth="1"/>
    <col min="4357" max="4357" width="13.28515625" style="52" customWidth="1"/>
    <col min="4358" max="4358" width="12.5703125" style="52" customWidth="1"/>
    <col min="4359" max="4359" width="14" style="52" customWidth="1"/>
    <col min="4360" max="4360" width="13.7109375" style="52" customWidth="1"/>
    <col min="4361" max="4361" width="14" style="52" customWidth="1"/>
    <col min="4362" max="4362" width="15.5703125" style="52" customWidth="1"/>
    <col min="4363" max="4363" width="15.42578125" style="52" customWidth="1"/>
    <col min="4364" max="4364" width="14" style="52" customWidth="1"/>
    <col min="4365" max="4365" width="13.42578125" style="52" customWidth="1"/>
    <col min="4366" max="4366" width="13.28515625" style="52" customWidth="1"/>
    <col min="4367" max="4367" width="13.42578125" style="52" customWidth="1"/>
    <col min="4368" max="4368" width="13.5703125" style="52" customWidth="1"/>
    <col min="4369" max="4369" width="13" style="52" customWidth="1"/>
    <col min="4370" max="4370" width="12.7109375" style="52" customWidth="1"/>
    <col min="4371" max="4371" width="14" style="52" customWidth="1"/>
    <col min="4372" max="4372" width="15.42578125" style="52" customWidth="1"/>
    <col min="4373" max="4373" width="15.5703125" style="52" customWidth="1"/>
    <col min="4374" max="4374" width="6.7109375" style="52" customWidth="1"/>
    <col min="4375" max="4375" width="6.85546875" style="52" customWidth="1"/>
    <col min="4376" max="4376" width="7" style="52" customWidth="1"/>
    <col min="4377" max="4608" width="9.140625" style="52"/>
    <col min="4609" max="4609" width="21.42578125" style="52" customWidth="1"/>
    <col min="4610" max="4610" width="14" style="52" customWidth="1"/>
    <col min="4611" max="4611" width="14.7109375" style="52" customWidth="1"/>
    <col min="4612" max="4612" width="13.7109375" style="52" customWidth="1"/>
    <col min="4613" max="4613" width="13.28515625" style="52" customWidth="1"/>
    <col min="4614" max="4614" width="12.5703125" style="52" customWidth="1"/>
    <col min="4615" max="4615" width="14" style="52" customWidth="1"/>
    <col min="4616" max="4616" width="13.7109375" style="52" customWidth="1"/>
    <col min="4617" max="4617" width="14" style="52" customWidth="1"/>
    <col min="4618" max="4618" width="15.5703125" style="52" customWidth="1"/>
    <col min="4619" max="4619" width="15.42578125" style="52" customWidth="1"/>
    <col min="4620" max="4620" width="14" style="52" customWidth="1"/>
    <col min="4621" max="4621" width="13.42578125" style="52" customWidth="1"/>
    <col min="4622" max="4622" width="13.28515625" style="52" customWidth="1"/>
    <col min="4623" max="4623" width="13.42578125" style="52" customWidth="1"/>
    <col min="4624" max="4624" width="13.5703125" style="52" customWidth="1"/>
    <col min="4625" max="4625" width="13" style="52" customWidth="1"/>
    <col min="4626" max="4626" width="12.7109375" style="52" customWidth="1"/>
    <col min="4627" max="4627" width="14" style="52" customWidth="1"/>
    <col min="4628" max="4628" width="15.42578125" style="52" customWidth="1"/>
    <col min="4629" max="4629" width="15.5703125" style="52" customWidth="1"/>
    <col min="4630" max="4630" width="6.7109375" style="52" customWidth="1"/>
    <col min="4631" max="4631" width="6.85546875" style="52" customWidth="1"/>
    <col min="4632" max="4632" width="7" style="52" customWidth="1"/>
    <col min="4633" max="4864" width="9.140625" style="52"/>
    <col min="4865" max="4865" width="21.42578125" style="52" customWidth="1"/>
    <col min="4866" max="4866" width="14" style="52" customWidth="1"/>
    <col min="4867" max="4867" width="14.7109375" style="52" customWidth="1"/>
    <col min="4868" max="4868" width="13.7109375" style="52" customWidth="1"/>
    <col min="4869" max="4869" width="13.28515625" style="52" customWidth="1"/>
    <col min="4870" max="4870" width="12.5703125" style="52" customWidth="1"/>
    <col min="4871" max="4871" width="14" style="52" customWidth="1"/>
    <col min="4872" max="4872" width="13.7109375" style="52" customWidth="1"/>
    <col min="4873" max="4873" width="14" style="52" customWidth="1"/>
    <col min="4874" max="4874" width="15.5703125" style="52" customWidth="1"/>
    <col min="4875" max="4875" width="15.42578125" style="52" customWidth="1"/>
    <col min="4876" max="4876" width="14" style="52" customWidth="1"/>
    <col min="4877" max="4877" width="13.42578125" style="52" customWidth="1"/>
    <col min="4878" max="4878" width="13.28515625" style="52" customWidth="1"/>
    <col min="4879" max="4879" width="13.42578125" style="52" customWidth="1"/>
    <col min="4880" max="4880" width="13.5703125" style="52" customWidth="1"/>
    <col min="4881" max="4881" width="13" style="52" customWidth="1"/>
    <col min="4882" max="4882" width="12.7109375" style="52" customWidth="1"/>
    <col min="4883" max="4883" width="14" style="52" customWidth="1"/>
    <col min="4884" max="4884" width="15.42578125" style="52" customWidth="1"/>
    <col min="4885" max="4885" width="15.5703125" style="52" customWidth="1"/>
    <col min="4886" max="4886" width="6.7109375" style="52" customWidth="1"/>
    <col min="4887" max="4887" width="6.85546875" style="52" customWidth="1"/>
    <col min="4888" max="4888" width="7" style="52" customWidth="1"/>
    <col min="4889" max="5120" width="9.140625" style="52"/>
    <col min="5121" max="5121" width="21.42578125" style="52" customWidth="1"/>
    <col min="5122" max="5122" width="14" style="52" customWidth="1"/>
    <col min="5123" max="5123" width="14.7109375" style="52" customWidth="1"/>
    <col min="5124" max="5124" width="13.7109375" style="52" customWidth="1"/>
    <col min="5125" max="5125" width="13.28515625" style="52" customWidth="1"/>
    <col min="5126" max="5126" width="12.5703125" style="52" customWidth="1"/>
    <col min="5127" max="5127" width="14" style="52" customWidth="1"/>
    <col min="5128" max="5128" width="13.7109375" style="52" customWidth="1"/>
    <col min="5129" max="5129" width="14" style="52" customWidth="1"/>
    <col min="5130" max="5130" width="15.5703125" style="52" customWidth="1"/>
    <col min="5131" max="5131" width="15.42578125" style="52" customWidth="1"/>
    <col min="5132" max="5132" width="14" style="52" customWidth="1"/>
    <col min="5133" max="5133" width="13.42578125" style="52" customWidth="1"/>
    <col min="5134" max="5134" width="13.28515625" style="52" customWidth="1"/>
    <col min="5135" max="5135" width="13.42578125" style="52" customWidth="1"/>
    <col min="5136" max="5136" width="13.5703125" style="52" customWidth="1"/>
    <col min="5137" max="5137" width="13" style="52" customWidth="1"/>
    <col min="5138" max="5138" width="12.7109375" style="52" customWidth="1"/>
    <col min="5139" max="5139" width="14" style="52" customWidth="1"/>
    <col min="5140" max="5140" width="15.42578125" style="52" customWidth="1"/>
    <col min="5141" max="5141" width="15.5703125" style="52" customWidth="1"/>
    <col min="5142" max="5142" width="6.7109375" style="52" customWidth="1"/>
    <col min="5143" max="5143" width="6.85546875" style="52" customWidth="1"/>
    <col min="5144" max="5144" width="7" style="52" customWidth="1"/>
    <col min="5145" max="5376" width="9.140625" style="52"/>
    <col min="5377" max="5377" width="21.42578125" style="52" customWidth="1"/>
    <col min="5378" max="5378" width="14" style="52" customWidth="1"/>
    <col min="5379" max="5379" width="14.7109375" style="52" customWidth="1"/>
    <col min="5380" max="5380" width="13.7109375" style="52" customWidth="1"/>
    <col min="5381" max="5381" width="13.28515625" style="52" customWidth="1"/>
    <col min="5382" max="5382" width="12.5703125" style="52" customWidth="1"/>
    <col min="5383" max="5383" width="14" style="52" customWidth="1"/>
    <col min="5384" max="5384" width="13.7109375" style="52" customWidth="1"/>
    <col min="5385" max="5385" width="14" style="52" customWidth="1"/>
    <col min="5386" max="5386" width="15.5703125" style="52" customWidth="1"/>
    <col min="5387" max="5387" width="15.42578125" style="52" customWidth="1"/>
    <col min="5388" max="5388" width="14" style="52" customWidth="1"/>
    <col min="5389" max="5389" width="13.42578125" style="52" customWidth="1"/>
    <col min="5390" max="5390" width="13.28515625" style="52" customWidth="1"/>
    <col min="5391" max="5391" width="13.42578125" style="52" customWidth="1"/>
    <col min="5392" max="5392" width="13.5703125" style="52" customWidth="1"/>
    <col min="5393" max="5393" width="13" style="52" customWidth="1"/>
    <col min="5394" max="5394" width="12.7109375" style="52" customWidth="1"/>
    <col min="5395" max="5395" width="14" style="52" customWidth="1"/>
    <col min="5396" max="5396" width="15.42578125" style="52" customWidth="1"/>
    <col min="5397" max="5397" width="15.5703125" style="52" customWidth="1"/>
    <col min="5398" max="5398" width="6.7109375" style="52" customWidth="1"/>
    <col min="5399" max="5399" width="6.85546875" style="52" customWidth="1"/>
    <col min="5400" max="5400" width="7" style="52" customWidth="1"/>
    <col min="5401" max="5632" width="9.140625" style="52"/>
    <col min="5633" max="5633" width="21.42578125" style="52" customWidth="1"/>
    <col min="5634" max="5634" width="14" style="52" customWidth="1"/>
    <col min="5635" max="5635" width="14.7109375" style="52" customWidth="1"/>
    <col min="5636" max="5636" width="13.7109375" style="52" customWidth="1"/>
    <col min="5637" max="5637" width="13.28515625" style="52" customWidth="1"/>
    <col min="5638" max="5638" width="12.5703125" style="52" customWidth="1"/>
    <col min="5639" max="5639" width="14" style="52" customWidth="1"/>
    <col min="5640" max="5640" width="13.7109375" style="52" customWidth="1"/>
    <col min="5641" max="5641" width="14" style="52" customWidth="1"/>
    <col min="5642" max="5642" width="15.5703125" style="52" customWidth="1"/>
    <col min="5643" max="5643" width="15.42578125" style="52" customWidth="1"/>
    <col min="5644" max="5644" width="14" style="52" customWidth="1"/>
    <col min="5645" max="5645" width="13.42578125" style="52" customWidth="1"/>
    <col min="5646" max="5646" width="13.28515625" style="52" customWidth="1"/>
    <col min="5647" max="5647" width="13.42578125" style="52" customWidth="1"/>
    <col min="5648" max="5648" width="13.5703125" style="52" customWidth="1"/>
    <col min="5649" max="5649" width="13" style="52" customWidth="1"/>
    <col min="5650" max="5650" width="12.7109375" style="52" customWidth="1"/>
    <col min="5651" max="5651" width="14" style="52" customWidth="1"/>
    <col min="5652" max="5652" width="15.42578125" style="52" customWidth="1"/>
    <col min="5653" max="5653" width="15.5703125" style="52" customWidth="1"/>
    <col min="5654" max="5654" width="6.7109375" style="52" customWidth="1"/>
    <col min="5655" max="5655" width="6.85546875" style="52" customWidth="1"/>
    <col min="5656" max="5656" width="7" style="52" customWidth="1"/>
    <col min="5657" max="5888" width="9.140625" style="52"/>
    <col min="5889" max="5889" width="21.42578125" style="52" customWidth="1"/>
    <col min="5890" max="5890" width="14" style="52" customWidth="1"/>
    <col min="5891" max="5891" width="14.7109375" style="52" customWidth="1"/>
    <col min="5892" max="5892" width="13.7109375" style="52" customWidth="1"/>
    <col min="5893" max="5893" width="13.28515625" style="52" customWidth="1"/>
    <col min="5894" max="5894" width="12.5703125" style="52" customWidth="1"/>
    <col min="5895" max="5895" width="14" style="52" customWidth="1"/>
    <col min="5896" max="5896" width="13.7109375" style="52" customWidth="1"/>
    <col min="5897" max="5897" width="14" style="52" customWidth="1"/>
    <col min="5898" max="5898" width="15.5703125" style="52" customWidth="1"/>
    <col min="5899" max="5899" width="15.42578125" style="52" customWidth="1"/>
    <col min="5900" max="5900" width="14" style="52" customWidth="1"/>
    <col min="5901" max="5901" width="13.42578125" style="52" customWidth="1"/>
    <col min="5902" max="5902" width="13.28515625" style="52" customWidth="1"/>
    <col min="5903" max="5903" width="13.42578125" style="52" customWidth="1"/>
    <col min="5904" max="5904" width="13.5703125" style="52" customWidth="1"/>
    <col min="5905" max="5905" width="13" style="52" customWidth="1"/>
    <col min="5906" max="5906" width="12.7109375" style="52" customWidth="1"/>
    <col min="5907" max="5907" width="14" style="52" customWidth="1"/>
    <col min="5908" max="5908" width="15.42578125" style="52" customWidth="1"/>
    <col min="5909" max="5909" width="15.5703125" style="52" customWidth="1"/>
    <col min="5910" max="5910" width="6.7109375" style="52" customWidth="1"/>
    <col min="5911" max="5911" width="6.85546875" style="52" customWidth="1"/>
    <col min="5912" max="5912" width="7" style="52" customWidth="1"/>
    <col min="5913" max="6144" width="9.140625" style="52"/>
    <col min="6145" max="6145" width="21.42578125" style="52" customWidth="1"/>
    <col min="6146" max="6146" width="14" style="52" customWidth="1"/>
    <col min="6147" max="6147" width="14.7109375" style="52" customWidth="1"/>
    <col min="6148" max="6148" width="13.7109375" style="52" customWidth="1"/>
    <col min="6149" max="6149" width="13.28515625" style="52" customWidth="1"/>
    <col min="6150" max="6150" width="12.5703125" style="52" customWidth="1"/>
    <col min="6151" max="6151" width="14" style="52" customWidth="1"/>
    <col min="6152" max="6152" width="13.7109375" style="52" customWidth="1"/>
    <col min="6153" max="6153" width="14" style="52" customWidth="1"/>
    <col min="6154" max="6154" width="15.5703125" style="52" customWidth="1"/>
    <col min="6155" max="6155" width="15.42578125" style="52" customWidth="1"/>
    <col min="6156" max="6156" width="14" style="52" customWidth="1"/>
    <col min="6157" max="6157" width="13.42578125" style="52" customWidth="1"/>
    <col min="6158" max="6158" width="13.28515625" style="52" customWidth="1"/>
    <col min="6159" max="6159" width="13.42578125" style="52" customWidth="1"/>
    <col min="6160" max="6160" width="13.5703125" style="52" customWidth="1"/>
    <col min="6161" max="6161" width="13" style="52" customWidth="1"/>
    <col min="6162" max="6162" width="12.7109375" style="52" customWidth="1"/>
    <col min="6163" max="6163" width="14" style="52" customWidth="1"/>
    <col min="6164" max="6164" width="15.42578125" style="52" customWidth="1"/>
    <col min="6165" max="6165" width="15.5703125" style="52" customWidth="1"/>
    <col min="6166" max="6166" width="6.7109375" style="52" customWidth="1"/>
    <col min="6167" max="6167" width="6.85546875" style="52" customWidth="1"/>
    <col min="6168" max="6168" width="7" style="52" customWidth="1"/>
    <col min="6169" max="6400" width="9.140625" style="52"/>
    <col min="6401" max="6401" width="21.42578125" style="52" customWidth="1"/>
    <col min="6402" max="6402" width="14" style="52" customWidth="1"/>
    <col min="6403" max="6403" width="14.7109375" style="52" customWidth="1"/>
    <col min="6404" max="6404" width="13.7109375" style="52" customWidth="1"/>
    <col min="6405" max="6405" width="13.28515625" style="52" customWidth="1"/>
    <col min="6406" max="6406" width="12.5703125" style="52" customWidth="1"/>
    <col min="6407" max="6407" width="14" style="52" customWidth="1"/>
    <col min="6408" max="6408" width="13.7109375" style="52" customWidth="1"/>
    <col min="6409" max="6409" width="14" style="52" customWidth="1"/>
    <col min="6410" max="6410" width="15.5703125" style="52" customWidth="1"/>
    <col min="6411" max="6411" width="15.42578125" style="52" customWidth="1"/>
    <col min="6412" max="6412" width="14" style="52" customWidth="1"/>
    <col min="6413" max="6413" width="13.42578125" style="52" customWidth="1"/>
    <col min="6414" max="6414" width="13.28515625" style="52" customWidth="1"/>
    <col min="6415" max="6415" width="13.42578125" style="52" customWidth="1"/>
    <col min="6416" max="6416" width="13.5703125" style="52" customWidth="1"/>
    <col min="6417" max="6417" width="13" style="52" customWidth="1"/>
    <col min="6418" max="6418" width="12.7109375" style="52" customWidth="1"/>
    <col min="6419" max="6419" width="14" style="52" customWidth="1"/>
    <col min="6420" max="6420" width="15.42578125" style="52" customWidth="1"/>
    <col min="6421" max="6421" width="15.5703125" style="52" customWidth="1"/>
    <col min="6422" max="6422" width="6.7109375" style="52" customWidth="1"/>
    <col min="6423" max="6423" width="6.85546875" style="52" customWidth="1"/>
    <col min="6424" max="6424" width="7" style="52" customWidth="1"/>
    <col min="6425" max="6656" width="9.140625" style="52"/>
    <col min="6657" max="6657" width="21.42578125" style="52" customWidth="1"/>
    <col min="6658" max="6658" width="14" style="52" customWidth="1"/>
    <col min="6659" max="6659" width="14.7109375" style="52" customWidth="1"/>
    <col min="6660" max="6660" width="13.7109375" style="52" customWidth="1"/>
    <col min="6661" max="6661" width="13.28515625" style="52" customWidth="1"/>
    <col min="6662" max="6662" width="12.5703125" style="52" customWidth="1"/>
    <col min="6663" max="6663" width="14" style="52" customWidth="1"/>
    <col min="6664" max="6664" width="13.7109375" style="52" customWidth="1"/>
    <col min="6665" max="6665" width="14" style="52" customWidth="1"/>
    <col min="6666" max="6666" width="15.5703125" style="52" customWidth="1"/>
    <col min="6667" max="6667" width="15.42578125" style="52" customWidth="1"/>
    <col min="6668" max="6668" width="14" style="52" customWidth="1"/>
    <col min="6669" max="6669" width="13.42578125" style="52" customWidth="1"/>
    <col min="6670" max="6670" width="13.28515625" style="52" customWidth="1"/>
    <col min="6671" max="6671" width="13.42578125" style="52" customWidth="1"/>
    <col min="6672" max="6672" width="13.5703125" style="52" customWidth="1"/>
    <col min="6673" max="6673" width="13" style="52" customWidth="1"/>
    <col min="6674" max="6674" width="12.7109375" style="52" customWidth="1"/>
    <col min="6675" max="6675" width="14" style="52" customWidth="1"/>
    <col min="6676" max="6676" width="15.42578125" style="52" customWidth="1"/>
    <col min="6677" max="6677" width="15.5703125" style="52" customWidth="1"/>
    <col min="6678" max="6678" width="6.7109375" style="52" customWidth="1"/>
    <col min="6679" max="6679" width="6.85546875" style="52" customWidth="1"/>
    <col min="6680" max="6680" width="7" style="52" customWidth="1"/>
    <col min="6681" max="6912" width="9.140625" style="52"/>
    <col min="6913" max="6913" width="21.42578125" style="52" customWidth="1"/>
    <col min="6914" max="6914" width="14" style="52" customWidth="1"/>
    <col min="6915" max="6915" width="14.7109375" style="52" customWidth="1"/>
    <col min="6916" max="6916" width="13.7109375" style="52" customWidth="1"/>
    <col min="6917" max="6917" width="13.28515625" style="52" customWidth="1"/>
    <col min="6918" max="6918" width="12.5703125" style="52" customWidth="1"/>
    <col min="6919" max="6919" width="14" style="52" customWidth="1"/>
    <col min="6920" max="6920" width="13.7109375" style="52" customWidth="1"/>
    <col min="6921" max="6921" width="14" style="52" customWidth="1"/>
    <col min="6922" max="6922" width="15.5703125" style="52" customWidth="1"/>
    <col min="6923" max="6923" width="15.42578125" style="52" customWidth="1"/>
    <col min="6924" max="6924" width="14" style="52" customWidth="1"/>
    <col min="6925" max="6925" width="13.42578125" style="52" customWidth="1"/>
    <col min="6926" max="6926" width="13.28515625" style="52" customWidth="1"/>
    <col min="6927" max="6927" width="13.42578125" style="52" customWidth="1"/>
    <col min="6928" max="6928" width="13.5703125" style="52" customWidth="1"/>
    <col min="6929" max="6929" width="13" style="52" customWidth="1"/>
    <col min="6930" max="6930" width="12.7109375" style="52" customWidth="1"/>
    <col min="6931" max="6931" width="14" style="52" customWidth="1"/>
    <col min="6932" max="6932" width="15.42578125" style="52" customWidth="1"/>
    <col min="6933" max="6933" width="15.5703125" style="52" customWidth="1"/>
    <col min="6934" max="6934" width="6.7109375" style="52" customWidth="1"/>
    <col min="6935" max="6935" width="6.85546875" style="52" customWidth="1"/>
    <col min="6936" max="6936" width="7" style="52" customWidth="1"/>
    <col min="6937" max="7168" width="9.140625" style="52"/>
    <col min="7169" max="7169" width="21.42578125" style="52" customWidth="1"/>
    <col min="7170" max="7170" width="14" style="52" customWidth="1"/>
    <col min="7171" max="7171" width="14.7109375" style="52" customWidth="1"/>
    <col min="7172" max="7172" width="13.7109375" style="52" customWidth="1"/>
    <col min="7173" max="7173" width="13.28515625" style="52" customWidth="1"/>
    <col min="7174" max="7174" width="12.5703125" style="52" customWidth="1"/>
    <col min="7175" max="7175" width="14" style="52" customWidth="1"/>
    <col min="7176" max="7176" width="13.7109375" style="52" customWidth="1"/>
    <col min="7177" max="7177" width="14" style="52" customWidth="1"/>
    <col min="7178" max="7178" width="15.5703125" style="52" customWidth="1"/>
    <col min="7179" max="7179" width="15.42578125" style="52" customWidth="1"/>
    <col min="7180" max="7180" width="14" style="52" customWidth="1"/>
    <col min="7181" max="7181" width="13.42578125" style="52" customWidth="1"/>
    <col min="7182" max="7182" width="13.28515625" style="52" customWidth="1"/>
    <col min="7183" max="7183" width="13.42578125" style="52" customWidth="1"/>
    <col min="7184" max="7184" width="13.5703125" style="52" customWidth="1"/>
    <col min="7185" max="7185" width="13" style="52" customWidth="1"/>
    <col min="7186" max="7186" width="12.7109375" style="52" customWidth="1"/>
    <col min="7187" max="7187" width="14" style="52" customWidth="1"/>
    <col min="7188" max="7188" width="15.42578125" style="52" customWidth="1"/>
    <col min="7189" max="7189" width="15.5703125" style="52" customWidth="1"/>
    <col min="7190" max="7190" width="6.7109375" style="52" customWidth="1"/>
    <col min="7191" max="7191" width="6.85546875" style="52" customWidth="1"/>
    <col min="7192" max="7192" width="7" style="52" customWidth="1"/>
    <col min="7193" max="7424" width="9.140625" style="52"/>
    <col min="7425" max="7425" width="21.42578125" style="52" customWidth="1"/>
    <col min="7426" max="7426" width="14" style="52" customWidth="1"/>
    <col min="7427" max="7427" width="14.7109375" style="52" customWidth="1"/>
    <col min="7428" max="7428" width="13.7109375" style="52" customWidth="1"/>
    <col min="7429" max="7429" width="13.28515625" style="52" customWidth="1"/>
    <col min="7430" max="7430" width="12.5703125" style="52" customWidth="1"/>
    <col min="7431" max="7431" width="14" style="52" customWidth="1"/>
    <col min="7432" max="7432" width="13.7109375" style="52" customWidth="1"/>
    <col min="7433" max="7433" width="14" style="52" customWidth="1"/>
    <col min="7434" max="7434" width="15.5703125" style="52" customWidth="1"/>
    <col min="7435" max="7435" width="15.42578125" style="52" customWidth="1"/>
    <col min="7436" max="7436" width="14" style="52" customWidth="1"/>
    <col min="7437" max="7437" width="13.42578125" style="52" customWidth="1"/>
    <col min="7438" max="7438" width="13.28515625" style="52" customWidth="1"/>
    <col min="7439" max="7439" width="13.42578125" style="52" customWidth="1"/>
    <col min="7440" max="7440" width="13.5703125" style="52" customWidth="1"/>
    <col min="7441" max="7441" width="13" style="52" customWidth="1"/>
    <col min="7442" max="7442" width="12.7109375" style="52" customWidth="1"/>
    <col min="7443" max="7443" width="14" style="52" customWidth="1"/>
    <col min="7444" max="7444" width="15.42578125" style="52" customWidth="1"/>
    <col min="7445" max="7445" width="15.5703125" style="52" customWidth="1"/>
    <col min="7446" max="7446" width="6.7109375" style="52" customWidth="1"/>
    <col min="7447" max="7447" width="6.85546875" style="52" customWidth="1"/>
    <col min="7448" max="7448" width="7" style="52" customWidth="1"/>
    <col min="7449" max="7680" width="9.140625" style="52"/>
    <col min="7681" max="7681" width="21.42578125" style="52" customWidth="1"/>
    <col min="7682" max="7682" width="14" style="52" customWidth="1"/>
    <col min="7683" max="7683" width="14.7109375" style="52" customWidth="1"/>
    <col min="7684" max="7684" width="13.7109375" style="52" customWidth="1"/>
    <col min="7685" max="7685" width="13.28515625" style="52" customWidth="1"/>
    <col min="7686" max="7686" width="12.5703125" style="52" customWidth="1"/>
    <col min="7687" max="7687" width="14" style="52" customWidth="1"/>
    <col min="7688" max="7688" width="13.7109375" style="52" customWidth="1"/>
    <col min="7689" max="7689" width="14" style="52" customWidth="1"/>
    <col min="7690" max="7690" width="15.5703125" style="52" customWidth="1"/>
    <col min="7691" max="7691" width="15.42578125" style="52" customWidth="1"/>
    <col min="7692" max="7692" width="14" style="52" customWidth="1"/>
    <col min="7693" max="7693" width="13.42578125" style="52" customWidth="1"/>
    <col min="7694" max="7694" width="13.28515625" style="52" customWidth="1"/>
    <col min="7695" max="7695" width="13.42578125" style="52" customWidth="1"/>
    <col min="7696" max="7696" width="13.5703125" style="52" customWidth="1"/>
    <col min="7697" max="7697" width="13" style="52" customWidth="1"/>
    <col min="7698" max="7698" width="12.7109375" style="52" customWidth="1"/>
    <col min="7699" max="7699" width="14" style="52" customWidth="1"/>
    <col min="7700" max="7700" width="15.42578125" style="52" customWidth="1"/>
    <col min="7701" max="7701" width="15.5703125" style="52" customWidth="1"/>
    <col min="7702" max="7702" width="6.7109375" style="52" customWidth="1"/>
    <col min="7703" max="7703" width="6.85546875" style="52" customWidth="1"/>
    <col min="7704" max="7704" width="7" style="52" customWidth="1"/>
    <col min="7705" max="7936" width="9.140625" style="52"/>
    <col min="7937" max="7937" width="21.42578125" style="52" customWidth="1"/>
    <col min="7938" max="7938" width="14" style="52" customWidth="1"/>
    <col min="7939" max="7939" width="14.7109375" style="52" customWidth="1"/>
    <col min="7940" max="7940" width="13.7109375" style="52" customWidth="1"/>
    <col min="7941" max="7941" width="13.28515625" style="52" customWidth="1"/>
    <col min="7942" max="7942" width="12.5703125" style="52" customWidth="1"/>
    <col min="7943" max="7943" width="14" style="52" customWidth="1"/>
    <col min="7944" max="7944" width="13.7109375" style="52" customWidth="1"/>
    <col min="7945" max="7945" width="14" style="52" customWidth="1"/>
    <col min="7946" max="7946" width="15.5703125" style="52" customWidth="1"/>
    <col min="7947" max="7947" width="15.42578125" style="52" customWidth="1"/>
    <col min="7948" max="7948" width="14" style="52" customWidth="1"/>
    <col min="7949" max="7949" width="13.42578125" style="52" customWidth="1"/>
    <col min="7950" max="7950" width="13.28515625" style="52" customWidth="1"/>
    <col min="7951" max="7951" width="13.42578125" style="52" customWidth="1"/>
    <col min="7952" max="7952" width="13.5703125" style="52" customWidth="1"/>
    <col min="7953" max="7953" width="13" style="52" customWidth="1"/>
    <col min="7954" max="7954" width="12.7109375" style="52" customWidth="1"/>
    <col min="7955" max="7955" width="14" style="52" customWidth="1"/>
    <col min="7956" max="7956" width="15.42578125" style="52" customWidth="1"/>
    <col min="7957" max="7957" width="15.5703125" style="52" customWidth="1"/>
    <col min="7958" max="7958" width="6.7109375" style="52" customWidth="1"/>
    <col min="7959" max="7959" width="6.85546875" style="52" customWidth="1"/>
    <col min="7960" max="7960" width="7" style="52" customWidth="1"/>
    <col min="7961" max="8192" width="9.140625" style="52"/>
    <col min="8193" max="8193" width="21.42578125" style="52" customWidth="1"/>
    <col min="8194" max="8194" width="14" style="52" customWidth="1"/>
    <col min="8195" max="8195" width="14.7109375" style="52" customWidth="1"/>
    <col min="8196" max="8196" width="13.7109375" style="52" customWidth="1"/>
    <col min="8197" max="8197" width="13.28515625" style="52" customWidth="1"/>
    <col min="8198" max="8198" width="12.5703125" style="52" customWidth="1"/>
    <col min="8199" max="8199" width="14" style="52" customWidth="1"/>
    <col min="8200" max="8200" width="13.7109375" style="52" customWidth="1"/>
    <col min="8201" max="8201" width="14" style="52" customWidth="1"/>
    <col min="8202" max="8202" width="15.5703125" style="52" customWidth="1"/>
    <col min="8203" max="8203" width="15.42578125" style="52" customWidth="1"/>
    <col min="8204" max="8204" width="14" style="52" customWidth="1"/>
    <col min="8205" max="8205" width="13.42578125" style="52" customWidth="1"/>
    <col min="8206" max="8206" width="13.28515625" style="52" customWidth="1"/>
    <col min="8207" max="8207" width="13.42578125" style="52" customWidth="1"/>
    <col min="8208" max="8208" width="13.5703125" style="52" customWidth="1"/>
    <col min="8209" max="8209" width="13" style="52" customWidth="1"/>
    <col min="8210" max="8210" width="12.7109375" style="52" customWidth="1"/>
    <col min="8211" max="8211" width="14" style="52" customWidth="1"/>
    <col min="8212" max="8212" width="15.42578125" style="52" customWidth="1"/>
    <col min="8213" max="8213" width="15.5703125" style="52" customWidth="1"/>
    <col min="8214" max="8214" width="6.7109375" style="52" customWidth="1"/>
    <col min="8215" max="8215" width="6.85546875" style="52" customWidth="1"/>
    <col min="8216" max="8216" width="7" style="52" customWidth="1"/>
    <col min="8217" max="8448" width="9.140625" style="52"/>
    <col min="8449" max="8449" width="21.42578125" style="52" customWidth="1"/>
    <col min="8450" max="8450" width="14" style="52" customWidth="1"/>
    <col min="8451" max="8451" width="14.7109375" style="52" customWidth="1"/>
    <col min="8452" max="8452" width="13.7109375" style="52" customWidth="1"/>
    <col min="8453" max="8453" width="13.28515625" style="52" customWidth="1"/>
    <col min="8454" max="8454" width="12.5703125" style="52" customWidth="1"/>
    <col min="8455" max="8455" width="14" style="52" customWidth="1"/>
    <col min="8456" max="8456" width="13.7109375" style="52" customWidth="1"/>
    <col min="8457" max="8457" width="14" style="52" customWidth="1"/>
    <col min="8458" max="8458" width="15.5703125" style="52" customWidth="1"/>
    <col min="8459" max="8459" width="15.42578125" style="52" customWidth="1"/>
    <col min="8460" max="8460" width="14" style="52" customWidth="1"/>
    <col min="8461" max="8461" width="13.42578125" style="52" customWidth="1"/>
    <col min="8462" max="8462" width="13.28515625" style="52" customWidth="1"/>
    <col min="8463" max="8463" width="13.42578125" style="52" customWidth="1"/>
    <col min="8464" max="8464" width="13.5703125" style="52" customWidth="1"/>
    <col min="8465" max="8465" width="13" style="52" customWidth="1"/>
    <col min="8466" max="8466" width="12.7109375" style="52" customWidth="1"/>
    <col min="8467" max="8467" width="14" style="52" customWidth="1"/>
    <col min="8468" max="8468" width="15.42578125" style="52" customWidth="1"/>
    <col min="8469" max="8469" width="15.5703125" style="52" customWidth="1"/>
    <col min="8470" max="8470" width="6.7109375" style="52" customWidth="1"/>
    <col min="8471" max="8471" width="6.85546875" style="52" customWidth="1"/>
    <col min="8472" max="8472" width="7" style="52" customWidth="1"/>
    <col min="8473" max="8704" width="9.140625" style="52"/>
    <col min="8705" max="8705" width="21.42578125" style="52" customWidth="1"/>
    <col min="8706" max="8706" width="14" style="52" customWidth="1"/>
    <col min="8707" max="8707" width="14.7109375" style="52" customWidth="1"/>
    <col min="8708" max="8708" width="13.7109375" style="52" customWidth="1"/>
    <col min="8709" max="8709" width="13.28515625" style="52" customWidth="1"/>
    <col min="8710" max="8710" width="12.5703125" style="52" customWidth="1"/>
    <col min="8711" max="8711" width="14" style="52" customWidth="1"/>
    <col min="8712" max="8712" width="13.7109375" style="52" customWidth="1"/>
    <col min="8713" max="8713" width="14" style="52" customWidth="1"/>
    <col min="8714" max="8714" width="15.5703125" style="52" customWidth="1"/>
    <col min="8715" max="8715" width="15.42578125" style="52" customWidth="1"/>
    <col min="8716" max="8716" width="14" style="52" customWidth="1"/>
    <col min="8717" max="8717" width="13.42578125" style="52" customWidth="1"/>
    <col min="8718" max="8718" width="13.28515625" style="52" customWidth="1"/>
    <col min="8719" max="8719" width="13.42578125" style="52" customWidth="1"/>
    <col min="8720" max="8720" width="13.5703125" style="52" customWidth="1"/>
    <col min="8721" max="8721" width="13" style="52" customWidth="1"/>
    <col min="8722" max="8722" width="12.7109375" style="52" customWidth="1"/>
    <col min="8723" max="8723" width="14" style="52" customWidth="1"/>
    <col min="8724" max="8724" width="15.42578125" style="52" customWidth="1"/>
    <col min="8725" max="8725" width="15.5703125" style="52" customWidth="1"/>
    <col min="8726" max="8726" width="6.7109375" style="52" customWidth="1"/>
    <col min="8727" max="8727" width="6.85546875" style="52" customWidth="1"/>
    <col min="8728" max="8728" width="7" style="52" customWidth="1"/>
    <col min="8729" max="8960" width="9.140625" style="52"/>
    <col min="8961" max="8961" width="21.42578125" style="52" customWidth="1"/>
    <col min="8962" max="8962" width="14" style="52" customWidth="1"/>
    <col min="8963" max="8963" width="14.7109375" style="52" customWidth="1"/>
    <col min="8964" max="8964" width="13.7109375" style="52" customWidth="1"/>
    <col min="8965" max="8965" width="13.28515625" style="52" customWidth="1"/>
    <col min="8966" max="8966" width="12.5703125" style="52" customWidth="1"/>
    <col min="8967" max="8967" width="14" style="52" customWidth="1"/>
    <col min="8968" max="8968" width="13.7109375" style="52" customWidth="1"/>
    <col min="8969" max="8969" width="14" style="52" customWidth="1"/>
    <col min="8970" max="8970" width="15.5703125" style="52" customWidth="1"/>
    <col min="8971" max="8971" width="15.42578125" style="52" customWidth="1"/>
    <col min="8972" max="8972" width="14" style="52" customWidth="1"/>
    <col min="8973" max="8973" width="13.42578125" style="52" customWidth="1"/>
    <col min="8974" max="8974" width="13.28515625" style="52" customWidth="1"/>
    <col min="8975" max="8975" width="13.42578125" style="52" customWidth="1"/>
    <col min="8976" max="8976" width="13.5703125" style="52" customWidth="1"/>
    <col min="8977" max="8977" width="13" style="52" customWidth="1"/>
    <col min="8978" max="8978" width="12.7109375" style="52" customWidth="1"/>
    <col min="8979" max="8979" width="14" style="52" customWidth="1"/>
    <col min="8980" max="8980" width="15.42578125" style="52" customWidth="1"/>
    <col min="8981" max="8981" width="15.5703125" style="52" customWidth="1"/>
    <col min="8982" max="8982" width="6.7109375" style="52" customWidth="1"/>
    <col min="8983" max="8983" width="6.85546875" style="52" customWidth="1"/>
    <col min="8984" max="8984" width="7" style="52" customWidth="1"/>
    <col min="8985" max="9216" width="9.140625" style="52"/>
    <col min="9217" max="9217" width="21.42578125" style="52" customWidth="1"/>
    <col min="9218" max="9218" width="14" style="52" customWidth="1"/>
    <col min="9219" max="9219" width="14.7109375" style="52" customWidth="1"/>
    <col min="9220" max="9220" width="13.7109375" style="52" customWidth="1"/>
    <col min="9221" max="9221" width="13.28515625" style="52" customWidth="1"/>
    <col min="9222" max="9222" width="12.5703125" style="52" customWidth="1"/>
    <col min="9223" max="9223" width="14" style="52" customWidth="1"/>
    <col min="9224" max="9224" width="13.7109375" style="52" customWidth="1"/>
    <col min="9225" max="9225" width="14" style="52" customWidth="1"/>
    <col min="9226" max="9226" width="15.5703125" style="52" customWidth="1"/>
    <col min="9227" max="9227" width="15.42578125" style="52" customWidth="1"/>
    <col min="9228" max="9228" width="14" style="52" customWidth="1"/>
    <col min="9229" max="9229" width="13.42578125" style="52" customWidth="1"/>
    <col min="9230" max="9230" width="13.28515625" style="52" customWidth="1"/>
    <col min="9231" max="9231" width="13.42578125" style="52" customWidth="1"/>
    <col min="9232" max="9232" width="13.5703125" style="52" customWidth="1"/>
    <col min="9233" max="9233" width="13" style="52" customWidth="1"/>
    <col min="9234" max="9234" width="12.7109375" style="52" customWidth="1"/>
    <col min="9235" max="9235" width="14" style="52" customWidth="1"/>
    <col min="9236" max="9236" width="15.42578125" style="52" customWidth="1"/>
    <col min="9237" max="9237" width="15.5703125" style="52" customWidth="1"/>
    <col min="9238" max="9238" width="6.7109375" style="52" customWidth="1"/>
    <col min="9239" max="9239" width="6.85546875" style="52" customWidth="1"/>
    <col min="9240" max="9240" width="7" style="52" customWidth="1"/>
    <col min="9241" max="9472" width="9.140625" style="52"/>
    <col min="9473" max="9473" width="21.42578125" style="52" customWidth="1"/>
    <col min="9474" max="9474" width="14" style="52" customWidth="1"/>
    <col min="9475" max="9475" width="14.7109375" style="52" customWidth="1"/>
    <col min="9476" max="9476" width="13.7109375" style="52" customWidth="1"/>
    <col min="9477" max="9477" width="13.28515625" style="52" customWidth="1"/>
    <col min="9478" max="9478" width="12.5703125" style="52" customWidth="1"/>
    <col min="9479" max="9479" width="14" style="52" customWidth="1"/>
    <col min="9480" max="9480" width="13.7109375" style="52" customWidth="1"/>
    <col min="9481" max="9481" width="14" style="52" customWidth="1"/>
    <col min="9482" max="9482" width="15.5703125" style="52" customWidth="1"/>
    <col min="9483" max="9483" width="15.42578125" style="52" customWidth="1"/>
    <col min="9484" max="9484" width="14" style="52" customWidth="1"/>
    <col min="9485" max="9485" width="13.42578125" style="52" customWidth="1"/>
    <col min="9486" max="9486" width="13.28515625" style="52" customWidth="1"/>
    <col min="9487" max="9487" width="13.42578125" style="52" customWidth="1"/>
    <col min="9488" max="9488" width="13.5703125" style="52" customWidth="1"/>
    <col min="9489" max="9489" width="13" style="52" customWidth="1"/>
    <col min="9490" max="9490" width="12.7109375" style="52" customWidth="1"/>
    <col min="9491" max="9491" width="14" style="52" customWidth="1"/>
    <col min="9492" max="9492" width="15.42578125" style="52" customWidth="1"/>
    <col min="9493" max="9493" width="15.5703125" style="52" customWidth="1"/>
    <col min="9494" max="9494" width="6.7109375" style="52" customWidth="1"/>
    <col min="9495" max="9495" width="6.85546875" style="52" customWidth="1"/>
    <col min="9496" max="9496" width="7" style="52" customWidth="1"/>
    <col min="9497" max="9728" width="9.140625" style="52"/>
    <col min="9729" max="9729" width="21.42578125" style="52" customWidth="1"/>
    <col min="9730" max="9730" width="14" style="52" customWidth="1"/>
    <col min="9731" max="9731" width="14.7109375" style="52" customWidth="1"/>
    <col min="9732" max="9732" width="13.7109375" style="52" customWidth="1"/>
    <col min="9733" max="9733" width="13.28515625" style="52" customWidth="1"/>
    <col min="9734" max="9734" width="12.5703125" style="52" customWidth="1"/>
    <col min="9735" max="9735" width="14" style="52" customWidth="1"/>
    <col min="9736" max="9736" width="13.7109375" style="52" customWidth="1"/>
    <col min="9737" max="9737" width="14" style="52" customWidth="1"/>
    <col min="9738" max="9738" width="15.5703125" style="52" customWidth="1"/>
    <col min="9739" max="9739" width="15.42578125" style="52" customWidth="1"/>
    <col min="9740" max="9740" width="14" style="52" customWidth="1"/>
    <col min="9741" max="9741" width="13.42578125" style="52" customWidth="1"/>
    <col min="9742" max="9742" width="13.28515625" style="52" customWidth="1"/>
    <col min="9743" max="9743" width="13.42578125" style="52" customWidth="1"/>
    <col min="9744" max="9744" width="13.5703125" style="52" customWidth="1"/>
    <col min="9745" max="9745" width="13" style="52" customWidth="1"/>
    <col min="9746" max="9746" width="12.7109375" style="52" customWidth="1"/>
    <col min="9747" max="9747" width="14" style="52" customWidth="1"/>
    <col min="9748" max="9748" width="15.42578125" style="52" customWidth="1"/>
    <col min="9749" max="9749" width="15.5703125" style="52" customWidth="1"/>
    <col min="9750" max="9750" width="6.7109375" style="52" customWidth="1"/>
    <col min="9751" max="9751" width="6.85546875" style="52" customWidth="1"/>
    <col min="9752" max="9752" width="7" style="52" customWidth="1"/>
    <col min="9753" max="9984" width="9.140625" style="52"/>
    <col min="9985" max="9985" width="21.42578125" style="52" customWidth="1"/>
    <col min="9986" max="9986" width="14" style="52" customWidth="1"/>
    <col min="9987" max="9987" width="14.7109375" style="52" customWidth="1"/>
    <col min="9988" max="9988" width="13.7109375" style="52" customWidth="1"/>
    <col min="9989" max="9989" width="13.28515625" style="52" customWidth="1"/>
    <col min="9990" max="9990" width="12.5703125" style="52" customWidth="1"/>
    <col min="9991" max="9991" width="14" style="52" customWidth="1"/>
    <col min="9992" max="9992" width="13.7109375" style="52" customWidth="1"/>
    <col min="9993" max="9993" width="14" style="52" customWidth="1"/>
    <col min="9994" max="9994" width="15.5703125" style="52" customWidth="1"/>
    <col min="9995" max="9995" width="15.42578125" style="52" customWidth="1"/>
    <col min="9996" max="9996" width="14" style="52" customWidth="1"/>
    <col min="9997" max="9997" width="13.42578125" style="52" customWidth="1"/>
    <col min="9998" max="9998" width="13.28515625" style="52" customWidth="1"/>
    <col min="9999" max="9999" width="13.42578125" style="52" customWidth="1"/>
    <col min="10000" max="10000" width="13.5703125" style="52" customWidth="1"/>
    <col min="10001" max="10001" width="13" style="52" customWidth="1"/>
    <col min="10002" max="10002" width="12.7109375" style="52" customWidth="1"/>
    <col min="10003" max="10003" width="14" style="52" customWidth="1"/>
    <col min="10004" max="10004" width="15.42578125" style="52" customWidth="1"/>
    <col min="10005" max="10005" width="15.5703125" style="52" customWidth="1"/>
    <col min="10006" max="10006" width="6.7109375" style="52" customWidth="1"/>
    <col min="10007" max="10007" width="6.85546875" style="52" customWidth="1"/>
    <col min="10008" max="10008" width="7" style="52" customWidth="1"/>
    <col min="10009" max="10240" width="9.140625" style="52"/>
    <col min="10241" max="10241" width="21.42578125" style="52" customWidth="1"/>
    <col min="10242" max="10242" width="14" style="52" customWidth="1"/>
    <col min="10243" max="10243" width="14.7109375" style="52" customWidth="1"/>
    <col min="10244" max="10244" width="13.7109375" style="52" customWidth="1"/>
    <col min="10245" max="10245" width="13.28515625" style="52" customWidth="1"/>
    <col min="10246" max="10246" width="12.5703125" style="52" customWidth="1"/>
    <col min="10247" max="10247" width="14" style="52" customWidth="1"/>
    <col min="10248" max="10248" width="13.7109375" style="52" customWidth="1"/>
    <col min="10249" max="10249" width="14" style="52" customWidth="1"/>
    <col min="10250" max="10250" width="15.5703125" style="52" customWidth="1"/>
    <col min="10251" max="10251" width="15.42578125" style="52" customWidth="1"/>
    <col min="10252" max="10252" width="14" style="52" customWidth="1"/>
    <col min="10253" max="10253" width="13.42578125" style="52" customWidth="1"/>
    <col min="10254" max="10254" width="13.28515625" style="52" customWidth="1"/>
    <col min="10255" max="10255" width="13.42578125" style="52" customWidth="1"/>
    <col min="10256" max="10256" width="13.5703125" style="52" customWidth="1"/>
    <col min="10257" max="10257" width="13" style="52" customWidth="1"/>
    <col min="10258" max="10258" width="12.7109375" style="52" customWidth="1"/>
    <col min="10259" max="10259" width="14" style="52" customWidth="1"/>
    <col min="10260" max="10260" width="15.42578125" style="52" customWidth="1"/>
    <col min="10261" max="10261" width="15.5703125" style="52" customWidth="1"/>
    <col min="10262" max="10262" width="6.7109375" style="52" customWidth="1"/>
    <col min="10263" max="10263" width="6.85546875" style="52" customWidth="1"/>
    <col min="10264" max="10264" width="7" style="52" customWidth="1"/>
    <col min="10265" max="10496" width="9.140625" style="52"/>
    <col min="10497" max="10497" width="21.42578125" style="52" customWidth="1"/>
    <col min="10498" max="10498" width="14" style="52" customWidth="1"/>
    <col min="10499" max="10499" width="14.7109375" style="52" customWidth="1"/>
    <col min="10500" max="10500" width="13.7109375" style="52" customWidth="1"/>
    <col min="10501" max="10501" width="13.28515625" style="52" customWidth="1"/>
    <col min="10502" max="10502" width="12.5703125" style="52" customWidth="1"/>
    <col min="10503" max="10503" width="14" style="52" customWidth="1"/>
    <col min="10504" max="10504" width="13.7109375" style="52" customWidth="1"/>
    <col min="10505" max="10505" width="14" style="52" customWidth="1"/>
    <col min="10506" max="10506" width="15.5703125" style="52" customWidth="1"/>
    <col min="10507" max="10507" width="15.42578125" style="52" customWidth="1"/>
    <col min="10508" max="10508" width="14" style="52" customWidth="1"/>
    <col min="10509" max="10509" width="13.42578125" style="52" customWidth="1"/>
    <col min="10510" max="10510" width="13.28515625" style="52" customWidth="1"/>
    <col min="10511" max="10511" width="13.42578125" style="52" customWidth="1"/>
    <col min="10512" max="10512" width="13.5703125" style="52" customWidth="1"/>
    <col min="10513" max="10513" width="13" style="52" customWidth="1"/>
    <col min="10514" max="10514" width="12.7109375" style="52" customWidth="1"/>
    <col min="10515" max="10515" width="14" style="52" customWidth="1"/>
    <col min="10516" max="10516" width="15.42578125" style="52" customWidth="1"/>
    <col min="10517" max="10517" width="15.5703125" style="52" customWidth="1"/>
    <col min="10518" max="10518" width="6.7109375" style="52" customWidth="1"/>
    <col min="10519" max="10519" width="6.85546875" style="52" customWidth="1"/>
    <col min="10520" max="10520" width="7" style="52" customWidth="1"/>
    <col min="10521" max="10752" width="9.140625" style="52"/>
    <col min="10753" max="10753" width="21.42578125" style="52" customWidth="1"/>
    <col min="10754" max="10754" width="14" style="52" customWidth="1"/>
    <col min="10755" max="10755" width="14.7109375" style="52" customWidth="1"/>
    <col min="10756" max="10756" width="13.7109375" style="52" customWidth="1"/>
    <col min="10757" max="10757" width="13.28515625" style="52" customWidth="1"/>
    <col min="10758" max="10758" width="12.5703125" style="52" customWidth="1"/>
    <col min="10759" max="10759" width="14" style="52" customWidth="1"/>
    <col min="10760" max="10760" width="13.7109375" style="52" customWidth="1"/>
    <col min="10761" max="10761" width="14" style="52" customWidth="1"/>
    <col min="10762" max="10762" width="15.5703125" style="52" customWidth="1"/>
    <col min="10763" max="10763" width="15.42578125" style="52" customWidth="1"/>
    <col min="10764" max="10764" width="14" style="52" customWidth="1"/>
    <col min="10765" max="10765" width="13.42578125" style="52" customWidth="1"/>
    <col min="10766" max="10766" width="13.28515625" style="52" customWidth="1"/>
    <col min="10767" max="10767" width="13.42578125" style="52" customWidth="1"/>
    <col min="10768" max="10768" width="13.5703125" style="52" customWidth="1"/>
    <col min="10769" max="10769" width="13" style="52" customWidth="1"/>
    <col min="10770" max="10770" width="12.7109375" style="52" customWidth="1"/>
    <col min="10771" max="10771" width="14" style="52" customWidth="1"/>
    <col min="10772" max="10772" width="15.42578125" style="52" customWidth="1"/>
    <col min="10773" max="10773" width="15.5703125" style="52" customWidth="1"/>
    <col min="10774" max="10774" width="6.7109375" style="52" customWidth="1"/>
    <col min="10775" max="10775" width="6.85546875" style="52" customWidth="1"/>
    <col min="10776" max="10776" width="7" style="52" customWidth="1"/>
    <col min="10777" max="11008" width="9.140625" style="52"/>
    <col min="11009" max="11009" width="21.42578125" style="52" customWidth="1"/>
    <col min="11010" max="11010" width="14" style="52" customWidth="1"/>
    <col min="11011" max="11011" width="14.7109375" style="52" customWidth="1"/>
    <col min="11012" max="11012" width="13.7109375" style="52" customWidth="1"/>
    <col min="11013" max="11013" width="13.28515625" style="52" customWidth="1"/>
    <col min="11014" max="11014" width="12.5703125" style="52" customWidth="1"/>
    <col min="11015" max="11015" width="14" style="52" customWidth="1"/>
    <col min="11016" max="11016" width="13.7109375" style="52" customWidth="1"/>
    <col min="11017" max="11017" width="14" style="52" customWidth="1"/>
    <col min="11018" max="11018" width="15.5703125" style="52" customWidth="1"/>
    <col min="11019" max="11019" width="15.42578125" style="52" customWidth="1"/>
    <col min="11020" max="11020" width="14" style="52" customWidth="1"/>
    <col min="11021" max="11021" width="13.42578125" style="52" customWidth="1"/>
    <col min="11022" max="11022" width="13.28515625" style="52" customWidth="1"/>
    <col min="11023" max="11023" width="13.42578125" style="52" customWidth="1"/>
    <col min="11024" max="11024" width="13.5703125" style="52" customWidth="1"/>
    <col min="11025" max="11025" width="13" style="52" customWidth="1"/>
    <col min="11026" max="11026" width="12.7109375" style="52" customWidth="1"/>
    <col min="11027" max="11027" width="14" style="52" customWidth="1"/>
    <col min="11028" max="11028" width="15.42578125" style="52" customWidth="1"/>
    <col min="11029" max="11029" width="15.5703125" style="52" customWidth="1"/>
    <col min="11030" max="11030" width="6.7109375" style="52" customWidth="1"/>
    <col min="11031" max="11031" width="6.85546875" style="52" customWidth="1"/>
    <col min="11032" max="11032" width="7" style="52" customWidth="1"/>
    <col min="11033" max="11264" width="9.140625" style="52"/>
    <col min="11265" max="11265" width="21.42578125" style="52" customWidth="1"/>
    <col min="11266" max="11266" width="14" style="52" customWidth="1"/>
    <col min="11267" max="11267" width="14.7109375" style="52" customWidth="1"/>
    <col min="11268" max="11268" width="13.7109375" style="52" customWidth="1"/>
    <col min="11269" max="11269" width="13.28515625" style="52" customWidth="1"/>
    <col min="11270" max="11270" width="12.5703125" style="52" customWidth="1"/>
    <col min="11271" max="11271" width="14" style="52" customWidth="1"/>
    <col min="11272" max="11272" width="13.7109375" style="52" customWidth="1"/>
    <col min="11273" max="11273" width="14" style="52" customWidth="1"/>
    <col min="11274" max="11274" width="15.5703125" style="52" customWidth="1"/>
    <col min="11275" max="11275" width="15.42578125" style="52" customWidth="1"/>
    <col min="11276" max="11276" width="14" style="52" customWidth="1"/>
    <col min="11277" max="11277" width="13.42578125" style="52" customWidth="1"/>
    <col min="11278" max="11278" width="13.28515625" style="52" customWidth="1"/>
    <col min="11279" max="11279" width="13.42578125" style="52" customWidth="1"/>
    <col min="11280" max="11280" width="13.5703125" style="52" customWidth="1"/>
    <col min="11281" max="11281" width="13" style="52" customWidth="1"/>
    <col min="11282" max="11282" width="12.7109375" style="52" customWidth="1"/>
    <col min="11283" max="11283" width="14" style="52" customWidth="1"/>
    <col min="11284" max="11284" width="15.42578125" style="52" customWidth="1"/>
    <col min="11285" max="11285" width="15.5703125" style="52" customWidth="1"/>
    <col min="11286" max="11286" width="6.7109375" style="52" customWidth="1"/>
    <col min="11287" max="11287" width="6.85546875" style="52" customWidth="1"/>
    <col min="11288" max="11288" width="7" style="52" customWidth="1"/>
    <col min="11289" max="11520" width="9.140625" style="52"/>
    <col min="11521" max="11521" width="21.42578125" style="52" customWidth="1"/>
    <col min="11522" max="11522" width="14" style="52" customWidth="1"/>
    <col min="11523" max="11523" width="14.7109375" style="52" customWidth="1"/>
    <col min="11524" max="11524" width="13.7109375" style="52" customWidth="1"/>
    <col min="11525" max="11525" width="13.28515625" style="52" customWidth="1"/>
    <col min="11526" max="11526" width="12.5703125" style="52" customWidth="1"/>
    <col min="11527" max="11527" width="14" style="52" customWidth="1"/>
    <col min="11528" max="11528" width="13.7109375" style="52" customWidth="1"/>
    <col min="11529" max="11529" width="14" style="52" customWidth="1"/>
    <col min="11530" max="11530" width="15.5703125" style="52" customWidth="1"/>
    <col min="11531" max="11531" width="15.42578125" style="52" customWidth="1"/>
    <col min="11532" max="11532" width="14" style="52" customWidth="1"/>
    <col min="11533" max="11533" width="13.42578125" style="52" customWidth="1"/>
    <col min="11534" max="11534" width="13.28515625" style="52" customWidth="1"/>
    <col min="11535" max="11535" width="13.42578125" style="52" customWidth="1"/>
    <col min="11536" max="11536" width="13.5703125" style="52" customWidth="1"/>
    <col min="11537" max="11537" width="13" style="52" customWidth="1"/>
    <col min="11538" max="11538" width="12.7109375" style="52" customWidth="1"/>
    <col min="11539" max="11539" width="14" style="52" customWidth="1"/>
    <col min="11540" max="11540" width="15.42578125" style="52" customWidth="1"/>
    <col min="11541" max="11541" width="15.5703125" style="52" customWidth="1"/>
    <col min="11542" max="11542" width="6.7109375" style="52" customWidth="1"/>
    <col min="11543" max="11543" width="6.85546875" style="52" customWidth="1"/>
    <col min="11544" max="11544" width="7" style="52" customWidth="1"/>
    <col min="11545" max="11776" width="9.140625" style="52"/>
    <col min="11777" max="11777" width="21.42578125" style="52" customWidth="1"/>
    <col min="11778" max="11778" width="14" style="52" customWidth="1"/>
    <col min="11779" max="11779" width="14.7109375" style="52" customWidth="1"/>
    <col min="11780" max="11780" width="13.7109375" style="52" customWidth="1"/>
    <col min="11781" max="11781" width="13.28515625" style="52" customWidth="1"/>
    <col min="11782" max="11782" width="12.5703125" style="52" customWidth="1"/>
    <col min="11783" max="11783" width="14" style="52" customWidth="1"/>
    <col min="11784" max="11784" width="13.7109375" style="52" customWidth="1"/>
    <col min="11785" max="11785" width="14" style="52" customWidth="1"/>
    <col min="11786" max="11786" width="15.5703125" style="52" customWidth="1"/>
    <col min="11787" max="11787" width="15.42578125" style="52" customWidth="1"/>
    <col min="11788" max="11788" width="14" style="52" customWidth="1"/>
    <col min="11789" max="11789" width="13.42578125" style="52" customWidth="1"/>
    <col min="11790" max="11790" width="13.28515625" style="52" customWidth="1"/>
    <col min="11791" max="11791" width="13.42578125" style="52" customWidth="1"/>
    <col min="11792" max="11792" width="13.5703125" style="52" customWidth="1"/>
    <col min="11793" max="11793" width="13" style="52" customWidth="1"/>
    <col min="11794" max="11794" width="12.7109375" style="52" customWidth="1"/>
    <col min="11795" max="11795" width="14" style="52" customWidth="1"/>
    <col min="11796" max="11796" width="15.42578125" style="52" customWidth="1"/>
    <col min="11797" max="11797" width="15.5703125" style="52" customWidth="1"/>
    <col min="11798" max="11798" width="6.7109375" style="52" customWidth="1"/>
    <col min="11799" max="11799" width="6.85546875" style="52" customWidth="1"/>
    <col min="11800" max="11800" width="7" style="52" customWidth="1"/>
    <col min="11801" max="12032" width="9.140625" style="52"/>
    <col min="12033" max="12033" width="21.42578125" style="52" customWidth="1"/>
    <col min="12034" max="12034" width="14" style="52" customWidth="1"/>
    <col min="12035" max="12035" width="14.7109375" style="52" customWidth="1"/>
    <col min="12036" max="12036" width="13.7109375" style="52" customWidth="1"/>
    <col min="12037" max="12037" width="13.28515625" style="52" customWidth="1"/>
    <col min="12038" max="12038" width="12.5703125" style="52" customWidth="1"/>
    <col min="12039" max="12039" width="14" style="52" customWidth="1"/>
    <col min="12040" max="12040" width="13.7109375" style="52" customWidth="1"/>
    <col min="12041" max="12041" width="14" style="52" customWidth="1"/>
    <col min="12042" max="12042" width="15.5703125" style="52" customWidth="1"/>
    <col min="12043" max="12043" width="15.42578125" style="52" customWidth="1"/>
    <col min="12044" max="12044" width="14" style="52" customWidth="1"/>
    <col min="12045" max="12045" width="13.42578125" style="52" customWidth="1"/>
    <col min="12046" max="12046" width="13.28515625" style="52" customWidth="1"/>
    <col min="12047" max="12047" width="13.42578125" style="52" customWidth="1"/>
    <col min="12048" max="12048" width="13.5703125" style="52" customWidth="1"/>
    <col min="12049" max="12049" width="13" style="52" customWidth="1"/>
    <col min="12050" max="12050" width="12.7109375" style="52" customWidth="1"/>
    <col min="12051" max="12051" width="14" style="52" customWidth="1"/>
    <col min="12052" max="12052" width="15.42578125" style="52" customWidth="1"/>
    <col min="12053" max="12053" width="15.5703125" style="52" customWidth="1"/>
    <col min="12054" max="12054" width="6.7109375" style="52" customWidth="1"/>
    <col min="12055" max="12055" width="6.85546875" style="52" customWidth="1"/>
    <col min="12056" max="12056" width="7" style="52" customWidth="1"/>
    <col min="12057" max="12288" width="9.140625" style="52"/>
    <col min="12289" max="12289" width="21.42578125" style="52" customWidth="1"/>
    <col min="12290" max="12290" width="14" style="52" customWidth="1"/>
    <col min="12291" max="12291" width="14.7109375" style="52" customWidth="1"/>
    <col min="12292" max="12292" width="13.7109375" style="52" customWidth="1"/>
    <col min="12293" max="12293" width="13.28515625" style="52" customWidth="1"/>
    <col min="12294" max="12294" width="12.5703125" style="52" customWidth="1"/>
    <col min="12295" max="12295" width="14" style="52" customWidth="1"/>
    <col min="12296" max="12296" width="13.7109375" style="52" customWidth="1"/>
    <col min="12297" max="12297" width="14" style="52" customWidth="1"/>
    <col min="12298" max="12298" width="15.5703125" style="52" customWidth="1"/>
    <col min="12299" max="12299" width="15.42578125" style="52" customWidth="1"/>
    <col min="12300" max="12300" width="14" style="52" customWidth="1"/>
    <col min="12301" max="12301" width="13.42578125" style="52" customWidth="1"/>
    <col min="12302" max="12302" width="13.28515625" style="52" customWidth="1"/>
    <col min="12303" max="12303" width="13.42578125" style="52" customWidth="1"/>
    <col min="12304" max="12304" width="13.5703125" style="52" customWidth="1"/>
    <col min="12305" max="12305" width="13" style="52" customWidth="1"/>
    <col min="12306" max="12306" width="12.7109375" style="52" customWidth="1"/>
    <col min="12307" max="12307" width="14" style="52" customWidth="1"/>
    <col min="12308" max="12308" width="15.42578125" style="52" customWidth="1"/>
    <col min="12309" max="12309" width="15.5703125" style="52" customWidth="1"/>
    <col min="12310" max="12310" width="6.7109375" style="52" customWidth="1"/>
    <col min="12311" max="12311" width="6.85546875" style="52" customWidth="1"/>
    <col min="12312" max="12312" width="7" style="52" customWidth="1"/>
    <col min="12313" max="12544" width="9.140625" style="52"/>
    <col min="12545" max="12545" width="21.42578125" style="52" customWidth="1"/>
    <col min="12546" max="12546" width="14" style="52" customWidth="1"/>
    <col min="12547" max="12547" width="14.7109375" style="52" customWidth="1"/>
    <col min="12548" max="12548" width="13.7109375" style="52" customWidth="1"/>
    <col min="12549" max="12549" width="13.28515625" style="52" customWidth="1"/>
    <col min="12550" max="12550" width="12.5703125" style="52" customWidth="1"/>
    <col min="12551" max="12551" width="14" style="52" customWidth="1"/>
    <col min="12552" max="12552" width="13.7109375" style="52" customWidth="1"/>
    <col min="12553" max="12553" width="14" style="52" customWidth="1"/>
    <col min="12554" max="12554" width="15.5703125" style="52" customWidth="1"/>
    <col min="12555" max="12555" width="15.42578125" style="52" customWidth="1"/>
    <col min="12556" max="12556" width="14" style="52" customWidth="1"/>
    <col min="12557" max="12557" width="13.42578125" style="52" customWidth="1"/>
    <col min="12558" max="12558" width="13.28515625" style="52" customWidth="1"/>
    <col min="12559" max="12559" width="13.42578125" style="52" customWidth="1"/>
    <col min="12560" max="12560" width="13.5703125" style="52" customWidth="1"/>
    <col min="12561" max="12561" width="13" style="52" customWidth="1"/>
    <col min="12562" max="12562" width="12.7109375" style="52" customWidth="1"/>
    <col min="12563" max="12563" width="14" style="52" customWidth="1"/>
    <col min="12564" max="12564" width="15.42578125" style="52" customWidth="1"/>
    <col min="12565" max="12565" width="15.5703125" style="52" customWidth="1"/>
    <col min="12566" max="12566" width="6.7109375" style="52" customWidth="1"/>
    <col min="12567" max="12567" width="6.85546875" style="52" customWidth="1"/>
    <col min="12568" max="12568" width="7" style="52" customWidth="1"/>
    <col min="12569" max="12800" width="9.140625" style="52"/>
    <col min="12801" max="12801" width="21.42578125" style="52" customWidth="1"/>
    <col min="12802" max="12802" width="14" style="52" customWidth="1"/>
    <col min="12803" max="12803" width="14.7109375" style="52" customWidth="1"/>
    <col min="12804" max="12804" width="13.7109375" style="52" customWidth="1"/>
    <col min="12805" max="12805" width="13.28515625" style="52" customWidth="1"/>
    <col min="12806" max="12806" width="12.5703125" style="52" customWidth="1"/>
    <col min="12807" max="12807" width="14" style="52" customWidth="1"/>
    <col min="12808" max="12808" width="13.7109375" style="52" customWidth="1"/>
    <col min="12809" max="12809" width="14" style="52" customWidth="1"/>
    <col min="12810" max="12810" width="15.5703125" style="52" customWidth="1"/>
    <col min="12811" max="12811" width="15.42578125" style="52" customWidth="1"/>
    <col min="12812" max="12812" width="14" style="52" customWidth="1"/>
    <col min="12813" max="12813" width="13.42578125" style="52" customWidth="1"/>
    <col min="12814" max="12814" width="13.28515625" style="52" customWidth="1"/>
    <col min="12815" max="12815" width="13.42578125" style="52" customWidth="1"/>
    <col min="12816" max="12816" width="13.5703125" style="52" customWidth="1"/>
    <col min="12817" max="12817" width="13" style="52" customWidth="1"/>
    <col min="12818" max="12818" width="12.7109375" style="52" customWidth="1"/>
    <col min="12819" max="12819" width="14" style="52" customWidth="1"/>
    <col min="12820" max="12820" width="15.42578125" style="52" customWidth="1"/>
    <col min="12821" max="12821" width="15.5703125" style="52" customWidth="1"/>
    <col min="12822" max="12822" width="6.7109375" style="52" customWidth="1"/>
    <col min="12823" max="12823" width="6.85546875" style="52" customWidth="1"/>
    <col min="12824" max="12824" width="7" style="52" customWidth="1"/>
    <col min="12825" max="13056" width="9.140625" style="52"/>
    <col min="13057" max="13057" width="21.42578125" style="52" customWidth="1"/>
    <col min="13058" max="13058" width="14" style="52" customWidth="1"/>
    <col min="13059" max="13059" width="14.7109375" style="52" customWidth="1"/>
    <col min="13060" max="13060" width="13.7109375" style="52" customWidth="1"/>
    <col min="13061" max="13061" width="13.28515625" style="52" customWidth="1"/>
    <col min="13062" max="13062" width="12.5703125" style="52" customWidth="1"/>
    <col min="13063" max="13063" width="14" style="52" customWidth="1"/>
    <col min="13064" max="13064" width="13.7109375" style="52" customWidth="1"/>
    <col min="13065" max="13065" width="14" style="52" customWidth="1"/>
    <col min="13066" max="13066" width="15.5703125" style="52" customWidth="1"/>
    <col min="13067" max="13067" width="15.42578125" style="52" customWidth="1"/>
    <col min="13068" max="13068" width="14" style="52" customWidth="1"/>
    <col min="13069" max="13069" width="13.42578125" style="52" customWidth="1"/>
    <col min="13070" max="13070" width="13.28515625" style="52" customWidth="1"/>
    <col min="13071" max="13071" width="13.42578125" style="52" customWidth="1"/>
    <col min="13072" max="13072" width="13.5703125" style="52" customWidth="1"/>
    <col min="13073" max="13073" width="13" style="52" customWidth="1"/>
    <col min="13074" max="13074" width="12.7109375" style="52" customWidth="1"/>
    <col min="13075" max="13075" width="14" style="52" customWidth="1"/>
    <col min="13076" max="13076" width="15.42578125" style="52" customWidth="1"/>
    <col min="13077" max="13077" width="15.5703125" style="52" customWidth="1"/>
    <col min="13078" max="13078" width="6.7109375" style="52" customWidth="1"/>
    <col min="13079" max="13079" width="6.85546875" style="52" customWidth="1"/>
    <col min="13080" max="13080" width="7" style="52" customWidth="1"/>
    <col min="13081" max="13312" width="9.140625" style="52"/>
    <col min="13313" max="13313" width="21.42578125" style="52" customWidth="1"/>
    <col min="13314" max="13314" width="14" style="52" customWidth="1"/>
    <col min="13315" max="13315" width="14.7109375" style="52" customWidth="1"/>
    <col min="13316" max="13316" width="13.7109375" style="52" customWidth="1"/>
    <col min="13317" max="13317" width="13.28515625" style="52" customWidth="1"/>
    <col min="13318" max="13318" width="12.5703125" style="52" customWidth="1"/>
    <col min="13319" max="13319" width="14" style="52" customWidth="1"/>
    <col min="13320" max="13320" width="13.7109375" style="52" customWidth="1"/>
    <col min="13321" max="13321" width="14" style="52" customWidth="1"/>
    <col min="13322" max="13322" width="15.5703125" style="52" customWidth="1"/>
    <col min="13323" max="13323" width="15.42578125" style="52" customWidth="1"/>
    <col min="13324" max="13324" width="14" style="52" customWidth="1"/>
    <col min="13325" max="13325" width="13.42578125" style="52" customWidth="1"/>
    <col min="13326" max="13326" width="13.28515625" style="52" customWidth="1"/>
    <col min="13327" max="13327" width="13.42578125" style="52" customWidth="1"/>
    <col min="13328" max="13328" width="13.5703125" style="52" customWidth="1"/>
    <col min="13329" max="13329" width="13" style="52" customWidth="1"/>
    <col min="13330" max="13330" width="12.7109375" style="52" customWidth="1"/>
    <col min="13331" max="13331" width="14" style="52" customWidth="1"/>
    <col min="13332" max="13332" width="15.42578125" style="52" customWidth="1"/>
    <col min="13333" max="13333" width="15.5703125" style="52" customWidth="1"/>
    <col min="13334" max="13334" width="6.7109375" style="52" customWidth="1"/>
    <col min="13335" max="13335" width="6.85546875" style="52" customWidth="1"/>
    <col min="13336" max="13336" width="7" style="52" customWidth="1"/>
    <col min="13337" max="13568" width="9.140625" style="52"/>
    <col min="13569" max="13569" width="21.42578125" style="52" customWidth="1"/>
    <col min="13570" max="13570" width="14" style="52" customWidth="1"/>
    <col min="13571" max="13571" width="14.7109375" style="52" customWidth="1"/>
    <col min="13572" max="13572" width="13.7109375" style="52" customWidth="1"/>
    <col min="13573" max="13573" width="13.28515625" style="52" customWidth="1"/>
    <col min="13574" max="13574" width="12.5703125" style="52" customWidth="1"/>
    <col min="13575" max="13575" width="14" style="52" customWidth="1"/>
    <col min="13576" max="13576" width="13.7109375" style="52" customWidth="1"/>
    <col min="13577" max="13577" width="14" style="52" customWidth="1"/>
    <col min="13578" max="13578" width="15.5703125" style="52" customWidth="1"/>
    <col min="13579" max="13579" width="15.42578125" style="52" customWidth="1"/>
    <col min="13580" max="13580" width="14" style="52" customWidth="1"/>
    <col min="13581" max="13581" width="13.42578125" style="52" customWidth="1"/>
    <col min="13582" max="13582" width="13.28515625" style="52" customWidth="1"/>
    <col min="13583" max="13583" width="13.42578125" style="52" customWidth="1"/>
    <col min="13584" max="13584" width="13.5703125" style="52" customWidth="1"/>
    <col min="13585" max="13585" width="13" style="52" customWidth="1"/>
    <col min="13586" max="13586" width="12.7109375" style="52" customWidth="1"/>
    <col min="13587" max="13587" width="14" style="52" customWidth="1"/>
    <col min="13588" max="13588" width="15.42578125" style="52" customWidth="1"/>
    <col min="13589" max="13589" width="15.5703125" style="52" customWidth="1"/>
    <col min="13590" max="13590" width="6.7109375" style="52" customWidth="1"/>
    <col min="13591" max="13591" width="6.85546875" style="52" customWidth="1"/>
    <col min="13592" max="13592" width="7" style="52" customWidth="1"/>
    <col min="13593" max="13824" width="9.140625" style="52"/>
    <col min="13825" max="13825" width="21.42578125" style="52" customWidth="1"/>
    <col min="13826" max="13826" width="14" style="52" customWidth="1"/>
    <col min="13827" max="13827" width="14.7109375" style="52" customWidth="1"/>
    <col min="13828" max="13828" width="13.7109375" style="52" customWidth="1"/>
    <col min="13829" max="13829" width="13.28515625" style="52" customWidth="1"/>
    <col min="13830" max="13830" width="12.5703125" style="52" customWidth="1"/>
    <col min="13831" max="13831" width="14" style="52" customWidth="1"/>
    <col min="13832" max="13832" width="13.7109375" style="52" customWidth="1"/>
    <col min="13833" max="13833" width="14" style="52" customWidth="1"/>
    <col min="13834" max="13834" width="15.5703125" style="52" customWidth="1"/>
    <col min="13835" max="13835" width="15.42578125" style="52" customWidth="1"/>
    <col min="13836" max="13836" width="14" style="52" customWidth="1"/>
    <col min="13837" max="13837" width="13.42578125" style="52" customWidth="1"/>
    <col min="13838" max="13838" width="13.28515625" style="52" customWidth="1"/>
    <col min="13839" max="13839" width="13.42578125" style="52" customWidth="1"/>
    <col min="13840" max="13840" width="13.5703125" style="52" customWidth="1"/>
    <col min="13841" max="13841" width="13" style="52" customWidth="1"/>
    <col min="13842" max="13842" width="12.7109375" style="52" customWidth="1"/>
    <col min="13843" max="13843" width="14" style="52" customWidth="1"/>
    <col min="13844" max="13844" width="15.42578125" style="52" customWidth="1"/>
    <col min="13845" max="13845" width="15.5703125" style="52" customWidth="1"/>
    <col min="13846" max="13846" width="6.7109375" style="52" customWidth="1"/>
    <col min="13847" max="13847" width="6.85546875" style="52" customWidth="1"/>
    <col min="13848" max="13848" width="7" style="52" customWidth="1"/>
    <col min="13849" max="14080" width="9.140625" style="52"/>
    <col min="14081" max="14081" width="21.42578125" style="52" customWidth="1"/>
    <col min="14082" max="14082" width="14" style="52" customWidth="1"/>
    <col min="14083" max="14083" width="14.7109375" style="52" customWidth="1"/>
    <col min="14084" max="14084" width="13.7109375" style="52" customWidth="1"/>
    <col min="14085" max="14085" width="13.28515625" style="52" customWidth="1"/>
    <col min="14086" max="14086" width="12.5703125" style="52" customWidth="1"/>
    <col min="14087" max="14087" width="14" style="52" customWidth="1"/>
    <col min="14088" max="14088" width="13.7109375" style="52" customWidth="1"/>
    <col min="14089" max="14089" width="14" style="52" customWidth="1"/>
    <col min="14090" max="14090" width="15.5703125" style="52" customWidth="1"/>
    <col min="14091" max="14091" width="15.42578125" style="52" customWidth="1"/>
    <col min="14092" max="14092" width="14" style="52" customWidth="1"/>
    <col min="14093" max="14093" width="13.42578125" style="52" customWidth="1"/>
    <col min="14094" max="14094" width="13.28515625" style="52" customWidth="1"/>
    <col min="14095" max="14095" width="13.42578125" style="52" customWidth="1"/>
    <col min="14096" max="14096" width="13.5703125" style="52" customWidth="1"/>
    <col min="14097" max="14097" width="13" style="52" customWidth="1"/>
    <col min="14098" max="14098" width="12.7109375" style="52" customWidth="1"/>
    <col min="14099" max="14099" width="14" style="52" customWidth="1"/>
    <col min="14100" max="14100" width="15.42578125" style="52" customWidth="1"/>
    <col min="14101" max="14101" width="15.5703125" style="52" customWidth="1"/>
    <col min="14102" max="14102" width="6.7109375" style="52" customWidth="1"/>
    <col min="14103" max="14103" width="6.85546875" style="52" customWidth="1"/>
    <col min="14104" max="14104" width="7" style="52" customWidth="1"/>
    <col min="14105" max="14336" width="9.140625" style="52"/>
    <col min="14337" max="14337" width="21.42578125" style="52" customWidth="1"/>
    <col min="14338" max="14338" width="14" style="52" customWidth="1"/>
    <col min="14339" max="14339" width="14.7109375" style="52" customWidth="1"/>
    <col min="14340" max="14340" width="13.7109375" style="52" customWidth="1"/>
    <col min="14341" max="14341" width="13.28515625" style="52" customWidth="1"/>
    <col min="14342" max="14342" width="12.5703125" style="52" customWidth="1"/>
    <col min="14343" max="14343" width="14" style="52" customWidth="1"/>
    <col min="14344" max="14344" width="13.7109375" style="52" customWidth="1"/>
    <col min="14345" max="14345" width="14" style="52" customWidth="1"/>
    <col min="14346" max="14346" width="15.5703125" style="52" customWidth="1"/>
    <col min="14347" max="14347" width="15.42578125" style="52" customWidth="1"/>
    <col min="14348" max="14348" width="14" style="52" customWidth="1"/>
    <col min="14349" max="14349" width="13.42578125" style="52" customWidth="1"/>
    <col min="14350" max="14350" width="13.28515625" style="52" customWidth="1"/>
    <col min="14351" max="14351" width="13.42578125" style="52" customWidth="1"/>
    <col min="14352" max="14352" width="13.5703125" style="52" customWidth="1"/>
    <col min="14353" max="14353" width="13" style="52" customWidth="1"/>
    <col min="14354" max="14354" width="12.7109375" style="52" customWidth="1"/>
    <col min="14355" max="14355" width="14" style="52" customWidth="1"/>
    <col min="14356" max="14356" width="15.42578125" style="52" customWidth="1"/>
    <col min="14357" max="14357" width="15.5703125" style="52" customWidth="1"/>
    <col min="14358" max="14358" width="6.7109375" style="52" customWidth="1"/>
    <col min="14359" max="14359" width="6.85546875" style="52" customWidth="1"/>
    <col min="14360" max="14360" width="7" style="52" customWidth="1"/>
    <col min="14361" max="14592" width="9.140625" style="52"/>
    <col min="14593" max="14593" width="21.42578125" style="52" customWidth="1"/>
    <col min="14594" max="14594" width="14" style="52" customWidth="1"/>
    <col min="14595" max="14595" width="14.7109375" style="52" customWidth="1"/>
    <col min="14596" max="14596" width="13.7109375" style="52" customWidth="1"/>
    <col min="14597" max="14597" width="13.28515625" style="52" customWidth="1"/>
    <col min="14598" max="14598" width="12.5703125" style="52" customWidth="1"/>
    <col min="14599" max="14599" width="14" style="52" customWidth="1"/>
    <col min="14600" max="14600" width="13.7109375" style="52" customWidth="1"/>
    <col min="14601" max="14601" width="14" style="52" customWidth="1"/>
    <col min="14602" max="14602" width="15.5703125" style="52" customWidth="1"/>
    <col min="14603" max="14603" width="15.42578125" style="52" customWidth="1"/>
    <col min="14604" max="14604" width="14" style="52" customWidth="1"/>
    <col min="14605" max="14605" width="13.42578125" style="52" customWidth="1"/>
    <col min="14606" max="14606" width="13.28515625" style="52" customWidth="1"/>
    <col min="14607" max="14607" width="13.42578125" style="52" customWidth="1"/>
    <col min="14608" max="14608" width="13.5703125" style="52" customWidth="1"/>
    <col min="14609" max="14609" width="13" style="52" customWidth="1"/>
    <col min="14610" max="14610" width="12.7109375" style="52" customWidth="1"/>
    <col min="14611" max="14611" width="14" style="52" customWidth="1"/>
    <col min="14612" max="14612" width="15.42578125" style="52" customWidth="1"/>
    <col min="14613" max="14613" width="15.5703125" style="52" customWidth="1"/>
    <col min="14614" max="14614" width="6.7109375" style="52" customWidth="1"/>
    <col min="14615" max="14615" width="6.85546875" style="52" customWidth="1"/>
    <col min="14616" max="14616" width="7" style="52" customWidth="1"/>
    <col min="14617" max="14848" width="9.140625" style="52"/>
    <col min="14849" max="14849" width="21.42578125" style="52" customWidth="1"/>
    <col min="14850" max="14850" width="14" style="52" customWidth="1"/>
    <col min="14851" max="14851" width="14.7109375" style="52" customWidth="1"/>
    <col min="14852" max="14852" width="13.7109375" style="52" customWidth="1"/>
    <col min="14853" max="14853" width="13.28515625" style="52" customWidth="1"/>
    <col min="14854" max="14854" width="12.5703125" style="52" customWidth="1"/>
    <col min="14855" max="14855" width="14" style="52" customWidth="1"/>
    <col min="14856" max="14856" width="13.7109375" style="52" customWidth="1"/>
    <col min="14857" max="14857" width="14" style="52" customWidth="1"/>
    <col min="14858" max="14858" width="15.5703125" style="52" customWidth="1"/>
    <col min="14859" max="14859" width="15.42578125" style="52" customWidth="1"/>
    <col min="14860" max="14860" width="14" style="52" customWidth="1"/>
    <col min="14861" max="14861" width="13.42578125" style="52" customWidth="1"/>
    <col min="14862" max="14862" width="13.28515625" style="52" customWidth="1"/>
    <col min="14863" max="14863" width="13.42578125" style="52" customWidth="1"/>
    <col min="14864" max="14864" width="13.5703125" style="52" customWidth="1"/>
    <col min="14865" max="14865" width="13" style="52" customWidth="1"/>
    <col min="14866" max="14866" width="12.7109375" style="52" customWidth="1"/>
    <col min="14867" max="14867" width="14" style="52" customWidth="1"/>
    <col min="14868" max="14868" width="15.42578125" style="52" customWidth="1"/>
    <col min="14869" max="14869" width="15.5703125" style="52" customWidth="1"/>
    <col min="14870" max="14870" width="6.7109375" style="52" customWidth="1"/>
    <col min="14871" max="14871" width="6.85546875" style="52" customWidth="1"/>
    <col min="14872" max="14872" width="7" style="52" customWidth="1"/>
    <col min="14873" max="15104" width="9.140625" style="52"/>
    <col min="15105" max="15105" width="21.42578125" style="52" customWidth="1"/>
    <col min="15106" max="15106" width="14" style="52" customWidth="1"/>
    <col min="15107" max="15107" width="14.7109375" style="52" customWidth="1"/>
    <col min="15108" max="15108" width="13.7109375" style="52" customWidth="1"/>
    <col min="15109" max="15109" width="13.28515625" style="52" customWidth="1"/>
    <col min="15110" max="15110" width="12.5703125" style="52" customWidth="1"/>
    <col min="15111" max="15111" width="14" style="52" customWidth="1"/>
    <col min="15112" max="15112" width="13.7109375" style="52" customWidth="1"/>
    <col min="15113" max="15113" width="14" style="52" customWidth="1"/>
    <col min="15114" max="15114" width="15.5703125" style="52" customWidth="1"/>
    <col min="15115" max="15115" width="15.42578125" style="52" customWidth="1"/>
    <col min="15116" max="15116" width="14" style="52" customWidth="1"/>
    <col min="15117" max="15117" width="13.42578125" style="52" customWidth="1"/>
    <col min="15118" max="15118" width="13.28515625" style="52" customWidth="1"/>
    <col min="15119" max="15119" width="13.42578125" style="52" customWidth="1"/>
    <col min="15120" max="15120" width="13.5703125" style="52" customWidth="1"/>
    <col min="15121" max="15121" width="13" style="52" customWidth="1"/>
    <col min="15122" max="15122" width="12.7109375" style="52" customWidth="1"/>
    <col min="15123" max="15123" width="14" style="52" customWidth="1"/>
    <col min="15124" max="15124" width="15.42578125" style="52" customWidth="1"/>
    <col min="15125" max="15125" width="15.5703125" style="52" customWidth="1"/>
    <col min="15126" max="15126" width="6.7109375" style="52" customWidth="1"/>
    <col min="15127" max="15127" width="6.85546875" style="52" customWidth="1"/>
    <col min="15128" max="15128" width="7" style="52" customWidth="1"/>
    <col min="15129" max="15360" width="9.140625" style="52"/>
    <col min="15361" max="15361" width="21.42578125" style="52" customWidth="1"/>
    <col min="15362" max="15362" width="14" style="52" customWidth="1"/>
    <col min="15363" max="15363" width="14.7109375" style="52" customWidth="1"/>
    <col min="15364" max="15364" width="13.7109375" style="52" customWidth="1"/>
    <col min="15365" max="15365" width="13.28515625" style="52" customWidth="1"/>
    <col min="15366" max="15366" width="12.5703125" style="52" customWidth="1"/>
    <col min="15367" max="15367" width="14" style="52" customWidth="1"/>
    <col min="15368" max="15368" width="13.7109375" style="52" customWidth="1"/>
    <col min="15369" max="15369" width="14" style="52" customWidth="1"/>
    <col min="15370" max="15370" width="15.5703125" style="52" customWidth="1"/>
    <col min="15371" max="15371" width="15.42578125" style="52" customWidth="1"/>
    <col min="15372" max="15372" width="14" style="52" customWidth="1"/>
    <col min="15373" max="15373" width="13.42578125" style="52" customWidth="1"/>
    <col min="15374" max="15374" width="13.28515625" style="52" customWidth="1"/>
    <col min="15375" max="15375" width="13.42578125" style="52" customWidth="1"/>
    <col min="15376" max="15376" width="13.5703125" style="52" customWidth="1"/>
    <col min="15377" max="15377" width="13" style="52" customWidth="1"/>
    <col min="15378" max="15378" width="12.7109375" style="52" customWidth="1"/>
    <col min="15379" max="15379" width="14" style="52" customWidth="1"/>
    <col min="15380" max="15380" width="15.42578125" style="52" customWidth="1"/>
    <col min="15381" max="15381" width="15.5703125" style="52" customWidth="1"/>
    <col min="15382" max="15382" width="6.7109375" style="52" customWidth="1"/>
    <col min="15383" max="15383" width="6.85546875" style="52" customWidth="1"/>
    <col min="15384" max="15384" width="7" style="52" customWidth="1"/>
    <col min="15385" max="15616" width="9.140625" style="52"/>
    <col min="15617" max="15617" width="21.42578125" style="52" customWidth="1"/>
    <col min="15618" max="15618" width="14" style="52" customWidth="1"/>
    <col min="15619" max="15619" width="14.7109375" style="52" customWidth="1"/>
    <col min="15620" max="15620" width="13.7109375" style="52" customWidth="1"/>
    <col min="15621" max="15621" width="13.28515625" style="52" customWidth="1"/>
    <col min="15622" max="15622" width="12.5703125" style="52" customWidth="1"/>
    <col min="15623" max="15623" width="14" style="52" customWidth="1"/>
    <col min="15624" max="15624" width="13.7109375" style="52" customWidth="1"/>
    <col min="15625" max="15625" width="14" style="52" customWidth="1"/>
    <col min="15626" max="15626" width="15.5703125" style="52" customWidth="1"/>
    <col min="15627" max="15627" width="15.42578125" style="52" customWidth="1"/>
    <col min="15628" max="15628" width="14" style="52" customWidth="1"/>
    <col min="15629" max="15629" width="13.42578125" style="52" customWidth="1"/>
    <col min="15630" max="15630" width="13.28515625" style="52" customWidth="1"/>
    <col min="15631" max="15631" width="13.42578125" style="52" customWidth="1"/>
    <col min="15632" max="15632" width="13.5703125" style="52" customWidth="1"/>
    <col min="15633" max="15633" width="13" style="52" customWidth="1"/>
    <col min="15634" max="15634" width="12.7109375" style="52" customWidth="1"/>
    <col min="15635" max="15635" width="14" style="52" customWidth="1"/>
    <col min="15636" max="15636" width="15.42578125" style="52" customWidth="1"/>
    <col min="15637" max="15637" width="15.5703125" style="52" customWidth="1"/>
    <col min="15638" max="15638" width="6.7109375" style="52" customWidth="1"/>
    <col min="15639" max="15639" width="6.85546875" style="52" customWidth="1"/>
    <col min="15640" max="15640" width="7" style="52" customWidth="1"/>
    <col min="15641" max="15872" width="9.140625" style="52"/>
    <col min="15873" max="15873" width="21.42578125" style="52" customWidth="1"/>
    <col min="15874" max="15874" width="14" style="52" customWidth="1"/>
    <col min="15875" max="15875" width="14.7109375" style="52" customWidth="1"/>
    <col min="15876" max="15876" width="13.7109375" style="52" customWidth="1"/>
    <col min="15877" max="15877" width="13.28515625" style="52" customWidth="1"/>
    <col min="15878" max="15878" width="12.5703125" style="52" customWidth="1"/>
    <col min="15879" max="15879" width="14" style="52" customWidth="1"/>
    <col min="15880" max="15880" width="13.7109375" style="52" customWidth="1"/>
    <col min="15881" max="15881" width="14" style="52" customWidth="1"/>
    <col min="15882" max="15882" width="15.5703125" style="52" customWidth="1"/>
    <col min="15883" max="15883" width="15.42578125" style="52" customWidth="1"/>
    <col min="15884" max="15884" width="14" style="52" customWidth="1"/>
    <col min="15885" max="15885" width="13.42578125" style="52" customWidth="1"/>
    <col min="15886" max="15886" width="13.28515625" style="52" customWidth="1"/>
    <col min="15887" max="15887" width="13.42578125" style="52" customWidth="1"/>
    <col min="15888" max="15888" width="13.5703125" style="52" customWidth="1"/>
    <col min="15889" max="15889" width="13" style="52" customWidth="1"/>
    <col min="15890" max="15890" width="12.7109375" style="52" customWidth="1"/>
    <col min="15891" max="15891" width="14" style="52" customWidth="1"/>
    <col min="15892" max="15892" width="15.42578125" style="52" customWidth="1"/>
    <col min="15893" max="15893" width="15.5703125" style="52" customWidth="1"/>
    <col min="15894" max="15894" width="6.7109375" style="52" customWidth="1"/>
    <col min="15895" max="15895" width="6.85546875" style="52" customWidth="1"/>
    <col min="15896" max="15896" width="7" style="52" customWidth="1"/>
    <col min="15897" max="16128" width="9.140625" style="52"/>
    <col min="16129" max="16129" width="21.42578125" style="52" customWidth="1"/>
    <col min="16130" max="16130" width="14" style="52" customWidth="1"/>
    <col min="16131" max="16131" width="14.7109375" style="52" customWidth="1"/>
    <col min="16132" max="16132" width="13.7109375" style="52" customWidth="1"/>
    <col min="16133" max="16133" width="13.28515625" style="52" customWidth="1"/>
    <col min="16134" max="16134" width="12.5703125" style="52" customWidth="1"/>
    <col min="16135" max="16135" width="14" style="52" customWidth="1"/>
    <col min="16136" max="16136" width="13.7109375" style="52" customWidth="1"/>
    <col min="16137" max="16137" width="14" style="52" customWidth="1"/>
    <col min="16138" max="16138" width="15.5703125" style="52" customWidth="1"/>
    <col min="16139" max="16139" width="15.42578125" style="52" customWidth="1"/>
    <col min="16140" max="16140" width="14" style="52" customWidth="1"/>
    <col min="16141" max="16141" width="13.42578125" style="52" customWidth="1"/>
    <col min="16142" max="16142" width="13.28515625" style="52" customWidth="1"/>
    <col min="16143" max="16143" width="13.42578125" style="52" customWidth="1"/>
    <col min="16144" max="16144" width="13.5703125" style="52" customWidth="1"/>
    <col min="16145" max="16145" width="13" style="52" customWidth="1"/>
    <col min="16146" max="16146" width="12.7109375" style="52" customWidth="1"/>
    <col min="16147" max="16147" width="14" style="52" customWidth="1"/>
    <col min="16148" max="16148" width="15.42578125" style="52" customWidth="1"/>
    <col min="16149" max="16149" width="15.5703125" style="52" customWidth="1"/>
    <col min="16150" max="16150" width="6.7109375" style="52" customWidth="1"/>
    <col min="16151" max="16151" width="6.85546875" style="52" customWidth="1"/>
    <col min="16152" max="16152" width="7" style="52" customWidth="1"/>
    <col min="16153" max="16384" width="9.140625" style="52"/>
  </cols>
  <sheetData>
    <row r="1" spans="1:24" x14ac:dyDescent="0.35">
      <c r="A1" s="619" t="s">
        <v>564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</row>
    <row r="3" spans="1:24" x14ac:dyDescent="0.35">
      <c r="A3" s="302" t="s">
        <v>549</v>
      </c>
      <c r="B3" s="52"/>
      <c r="I3" s="303"/>
      <c r="L3" s="52"/>
      <c r="S3" s="303"/>
      <c r="X3" s="304" t="s">
        <v>240</v>
      </c>
    </row>
    <row r="4" spans="1:24" s="23" customFormat="1" ht="18.75" x14ac:dyDescent="0.3">
      <c r="A4" s="625" t="s">
        <v>36</v>
      </c>
      <c r="B4" s="620" t="s">
        <v>550</v>
      </c>
      <c r="C4" s="620"/>
      <c r="D4" s="620"/>
      <c r="E4" s="556" t="s">
        <v>551</v>
      </c>
      <c r="F4" s="557"/>
      <c r="G4" s="557"/>
      <c r="H4" s="557"/>
      <c r="I4" s="557"/>
      <c r="J4" s="558"/>
      <c r="K4" s="564" t="s">
        <v>178</v>
      </c>
      <c r="L4" s="620" t="s">
        <v>550</v>
      </c>
      <c r="M4" s="620"/>
      <c r="N4" s="620"/>
      <c r="O4" s="556" t="s">
        <v>551</v>
      </c>
      <c r="P4" s="557"/>
      <c r="Q4" s="557"/>
      <c r="R4" s="557"/>
      <c r="S4" s="557"/>
      <c r="T4" s="558"/>
      <c r="U4" s="564" t="s">
        <v>178</v>
      </c>
      <c r="V4" s="620" t="s">
        <v>263</v>
      </c>
      <c r="W4" s="620"/>
      <c r="X4" s="620"/>
    </row>
    <row r="5" spans="1:24" s="21" customFormat="1" ht="21.75" customHeight="1" x14ac:dyDescent="0.3">
      <c r="A5" s="626"/>
      <c r="B5" s="564" t="s">
        <v>552</v>
      </c>
      <c r="C5" s="621" t="s">
        <v>76</v>
      </c>
      <c r="D5" s="564" t="s">
        <v>1</v>
      </c>
      <c r="E5" s="564" t="s">
        <v>553</v>
      </c>
      <c r="F5" s="621" t="s">
        <v>554</v>
      </c>
      <c r="G5" s="621" t="s">
        <v>75</v>
      </c>
      <c r="H5" s="564" t="s">
        <v>555</v>
      </c>
      <c r="I5" s="564" t="s">
        <v>556</v>
      </c>
      <c r="J5" s="564" t="s">
        <v>1</v>
      </c>
      <c r="K5" s="565"/>
      <c r="L5" s="564" t="s">
        <v>552</v>
      </c>
      <c r="M5" s="621" t="s">
        <v>76</v>
      </c>
      <c r="N5" s="564" t="s">
        <v>1</v>
      </c>
      <c r="O5" s="564" t="s">
        <v>553</v>
      </c>
      <c r="P5" s="621" t="s">
        <v>554</v>
      </c>
      <c r="Q5" s="621" t="s">
        <v>75</v>
      </c>
      <c r="R5" s="564" t="s">
        <v>555</v>
      </c>
      <c r="S5" s="564" t="s">
        <v>556</v>
      </c>
      <c r="T5" s="564" t="s">
        <v>1</v>
      </c>
      <c r="U5" s="565"/>
      <c r="V5" s="624" t="s">
        <v>557</v>
      </c>
      <c r="W5" s="624" t="s">
        <v>558</v>
      </c>
      <c r="X5" s="624" t="s">
        <v>559</v>
      </c>
    </row>
    <row r="6" spans="1:24" s="21" customFormat="1" ht="18.75" x14ac:dyDescent="0.3">
      <c r="A6" s="626"/>
      <c r="B6" s="565"/>
      <c r="C6" s="622"/>
      <c r="D6" s="565"/>
      <c r="E6" s="565"/>
      <c r="F6" s="622"/>
      <c r="G6" s="622"/>
      <c r="H6" s="565"/>
      <c r="I6" s="565"/>
      <c r="J6" s="565"/>
      <c r="K6" s="565"/>
      <c r="L6" s="565"/>
      <c r="M6" s="622"/>
      <c r="N6" s="565"/>
      <c r="O6" s="565"/>
      <c r="P6" s="622"/>
      <c r="Q6" s="622"/>
      <c r="R6" s="565"/>
      <c r="S6" s="565"/>
      <c r="T6" s="565"/>
      <c r="U6" s="565"/>
      <c r="V6" s="624"/>
      <c r="W6" s="624"/>
      <c r="X6" s="624"/>
    </row>
    <row r="7" spans="1:24" s="21" customFormat="1" ht="18.75" x14ac:dyDescent="0.3">
      <c r="A7" s="627"/>
      <c r="B7" s="566"/>
      <c r="C7" s="623"/>
      <c r="D7" s="566"/>
      <c r="E7" s="566"/>
      <c r="F7" s="623"/>
      <c r="G7" s="623"/>
      <c r="H7" s="566"/>
      <c r="I7" s="566"/>
      <c r="J7" s="566"/>
      <c r="K7" s="565"/>
      <c r="L7" s="566"/>
      <c r="M7" s="623"/>
      <c r="N7" s="566"/>
      <c r="O7" s="566"/>
      <c r="P7" s="623"/>
      <c r="Q7" s="623"/>
      <c r="R7" s="566"/>
      <c r="S7" s="566"/>
      <c r="T7" s="566"/>
      <c r="U7" s="565"/>
      <c r="V7" s="624"/>
      <c r="W7" s="624"/>
      <c r="X7" s="624"/>
    </row>
    <row r="8" spans="1:24" hidden="1" x14ac:dyDescent="0.35">
      <c r="A8" s="305" t="s">
        <v>36</v>
      </c>
      <c r="B8" s="306" t="s">
        <v>2</v>
      </c>
      <c r="C8" s="306" t="s">
        <v>6</v>
      </c>
      <c r="D8" s="308"/>
      <c r="E8" s="306" t="s">
        <v>3</v>
      </c>
      <c r="F8" s="306" t="s">
        <v>4</v>
      </c>
      <c r="G8" s="306" t="s">
        <v>5</v>
      </c>
      <c r="H8" s="306" t="s">
        <v>7</v>
      </c>
      <c r="I8" s="307" t="s">
        <v>560</v>
      </c>
      <c r="J8" s="308"/>
      <c r="K8" s="309"/>
      <c r="L8" s="306" t="s">
        <v>2</v>
      </c>
      <c r="M8" s="306" t="s">
        <v>6</v>
      </c>
      <c r="N8" s="308"/>
      <c r="O8" s="306" t="s">
        <v>3</v>
      </c>
      <c r="P8" s="306" t="s">
        <v>4</v>
      </c>
      <c r="Q8" s="306" t="s">
        <v>5</v>
      </c>
      <c r="R8" s="306" t="s">
        <v>7</v>
      </c>
      <c r="S8" s="307" t="s">
        <v>560</v>
      </c>
      <c r="T8" s="308"/>
      <c r="U8" s="309"/>
      <c r="V8" s="69"/>
      <c r="W8" s="69"/>
      <c r="X8" s="310"/>
    </row>
    <row r="9" spans="1:24" x14ac:dyDescent="0.35">
      <c r="A9" s="311" t="s">
        <v>40</v>
      </c>
      <c r="B9" s="312"/>
      <c r="C9" s="313"/>
      <c r="D9" s="314"/>
      <c r="E9" s="312"/>
      <c r="F9" s="312"/>
      <c r="G9" s="312"/>
      <c r="H9" s="312"/>
      <c r="I9" s="315"/>
      <c r="J9" s="316"/>
      <c r="K9" s="317"/>
      <c r="L9" s="312"/>
      <c r="M9" s="313"/>
      <c r="N9" s="314"/>
      <c r="O9" s="312"/>
      <c r="P9" s="312"/>
      <c r="Q9" s="312"/>
      <c r="R9" s="312"/>
      <c r="S9" s="315"/>
      <c r="T9" s="316"/>
      <c r="U9" s="317"/>
      <c r="V9" s="61"/>
      <c r="W9" s="61"/>
      <c r="X9" s="318"/>
    </row>
    <row r="10" spans="1:24" x14ac:dyDescent="0.35">
      <c r="A10" s="319" t="s">
        <v>41</v>
      </c>
      <c r="B10" s="59">
        <v>3187410.37</v>
      </c>
      <c r="C10" s="59">
        <f>3815440.3+1</f>
        <v>3815441.3</v>
      </c>
      <c r="D10" s="320">
        <f>SUM(B10:C10)</f>
        <v>7002851.6699999999</v>
      </c>
      <c r="E10" s="59">
        <v>7409679</v>
      </c>
      <c r="F10" s="59">
        <v>4605940</v>
      </c>
      <c r="G10" s="59">
        <v>7337196.3599999994</v>
      </c>
      <c r="H10" s="59">
        <v>5000000</v>
      </c>
      <c r="I10" s="321"/>
      <c r="J10" s="62">
        <f>SUM(E10:I10)</f>
        <v>24352815.359999999</v>
      </c>
      <c r="K10" s="62">
        <f t="shared" ref="K10:K24" si="0">SUM(D10+J10)</f>
        <v>31355667.030000001</v>
      </c>
      <c r="L10" s="59">
        <v>3962735.55</v>
      </c>
      <c r="M10" s="59">
        <v>9336063.8399999999</v>
      </c>
      <c r="N10" s="320">
        <f>SUM(L10:M10)</f>
        <v>13298799.390000001</v>
      </c>
      <c r="O10" s="59">
        <v>8065421</v>
      </c>
      <c r="P10" s="59">
        <v>4043309.5</v>
      </c>
      <c r="Q10" s="59">
        <v>8144538.7699999996</v>
      </c>
      <c r="R10" s="59"/>
      <c r="S10" s="321">
        <v>69784121.150000006</v>
      </c>
      <c r="T10" s="62">
        <f>SUM(O10:S10)</f>
        <v>90037390.420000002</v>
      </c>
      <c r="U10" s="62">
        <f>SUM(N10+T10)</f>
        <v>103336189.81</v>
      </c>
      <c r="V10" s="398">
        <f>SUM(N10-D10)*100/D10</f>
        <v>89.905484461018162</v>
      </c>
      <c r="W10" s="398">
        <f>SUM(T10-J10)*100/J10</f>
        <v>269.7206630486275</v>
      </c>
      <c r="X10" s="399">
        <f>SUM(U10-K10)*100/K10</f>
        <v>229.56144645601563</v>
      </c>
    </row>
    <row r="11" spans="1:24" x14ac:dyDescent="0.35">
      <c r="A11" s="319" t="s">
        <v>42</v>
      </c>
      <c r="B11" s="59">
        <v>4092686.17</v>
      </c>
      <c r="C11" s="59">
        <v>4714784.32</v>
      </c>
      <c r="D11" s="320">
        <f t="shared" ref="D11:D38" si="1">SUM(B11:C11)</f>
        <v>8807470.4900000002</v>
      </c>
      <c r="E11" s="59">
        <v>3825194.54</v>
      </c>
      <c r="F11" s="59">
        <v>6452181.5899999999</v>
      </c>
      <c r="G11" s="59">
        <v>10099138.25</v>
      </c>
      <c r="H11" s="59">
        <v>3316500</v>
      </c>
      <c r="I11" s="321"/>
      <c r="J11" s="62">
        <f t="shared" ref="J11:J38" si="2">SUM(E11:I11)</f>
        <v>23693014.379999999</v>
      </c>
      <c r="K11" s="62">
        <f t="shared" si="0"/>
        <v>32500484.869999997</v>
      </c>
      <c r="L11" s="59">
        <v>4209061.32</v>
      </c>
      <c r="M11" s="59">
        <v>4141912.48</v>
      </c>
      <c r="N11" s="320">
        <f t="shared" ref="N11:N24" si="3">SUM(L11:M11)</f>
        <v>8350973.8000000007</v>
      </c>
      <c r="O11" s="59">
        <v>3325699.51</v>
      </c>
      <c r="P11" s="59">
        <v>5494267</v>
      </c>
      <c r="Q11" s="59">
        <v>10204426.810000001</v>
      </c>
      <c r="R11" s="59"/>
      <c r="S11" s="321">
        <v>29255603.350000001</v>
      </c>
      <c r="T11" s="62">
        <f t="shared" ref="T11:T38" si="4">SUM(O11:S11)</f>
        <v>48279996.670000002</v>
      </c>
      <c r="U11" s="62">
        <f t="shared" ref="U11:U24" si="5">SUM(N11+T11)</f>
        <v>56630970.469999999</v>
      </c>
      <c r="V11" s="398">
        <f t="shared" ref="V11:V38" si="6">SUM(N11-D11)*100/D11</f>
        <v>-5.1830623845780206</v>
      </c>
      <c r="W11" s="398">
        <f t="shared" ref="W11:W38" si="7">SUM(T11-J11)*100/J11</f>
        <v>103.77312863471957</v>
      </c>
      <c r="X11" s="399">
        <f t="shared" ref="X11:X38" si="8">SUM(U11-K11)*100/K11</f>
        <v>74.246540310153847</v>
      </c>
    </row>
    <row r="12" spans="1:24" x14ac:dyDescent="0.35">
      <c r="A12" s="319" t="s">
        <v>43</v>
      </c>
      <c r="B12" s="59">
        <v>3913234.99</v>
      </c>
      <c r="C12" s="59">
        <f>8274139.99+321.66</f>
        <v>8274461.6500000004</v>
      </c>
      <c r="D12" s="320">
        <f t="shared" si="1"/>
        <v>12187696.640000001</v>
      </c>
      <c r="E12" s="59">
        <v>4834547</v>
      </c>
      <c r="F12" s="59">
        <v>4942646</v>
      </c>
      <c r="G12" s="59">
        <v>11098906.93</v>
      </c>
      <c r="H12" s="59">
        <v>5000000</v>
      </c>
      <c r="I12" s="321"/>
      <c r="J12" s="62">
        <f t="shared" si="2"/>
        <v>25876099.93</v>
      </c>
      <c r="K12" s="62">
        <f t="shared" si="0"/>
        <v>38063796.57</v>
      </c>
      <c r="L12" s="59">
        <v>4505719</v>
      </c>
      <c r="M12" s="59">
        <v>8467036.0900000017</v>
      </c>
      <c r="N12" s="320">
        <f t="shared" si="3"/>
        <v>12972755.090000002</v>
      </c>
      <c r="O12" s="59">
        <v>10212592</v>
      </c>
      <c r="P12" s="59">
        <v>4341902</v>
      </c>
      <c r="Q12" s="59">
        <v>14352757</v>
      </c>
      <c r="R12" s="59"/>
      <c r="S12" s="321">
        <v>62615580.57</v>
      </c>
      <c r="T12" s="62">
        <f t="shared" si="4"/>
        <v>91522831.569999993</v>
      </c>
      <c r="U12" s="62">
        <f t="shared" si="5"/>
        <v>104495586.66</v>
      </c>
      <c r="V12" s="398">
        <f t="shared" si="6"/>
        <v>6.4414013015670299</v>
      </c>
      <c r="W12" s="398">
        <f t="shared" si="7"/>
        <v>253.69639094603693</v>
      </c>
      <c r="X12" s="399">
        <f t="shared" si="8"/>
        <v>174.52749351429188</v>
      </c>
    </row>
    <row r="13" spans="1:24" x14ac:dyDescent="0.35">
      <c r="A13" s="319" t="s">
        <v>44</v>
      </c>
      <c r="B13" s="59">
        <v>5662441</v>
      </c>
      <c r="C13" s="59">
        <f>2011341.14+117015.5</f>
        <v>2128356.6399999997</v>
      </c>
      <c r="D13" s="320">
        <f t="shared" si="1"/>
        <v>7790797.6399999997</v>
      </c>
      <c r="E13" s="59">
        <v>7391101</v>
      </c>
      <c r="F13" s="59">
        <v>5616142.5</v>
      </c>
      <c r="G13" s="59">
        <v>11494447.01</v>
      </c>
      <c r="H13" s="59">
        <v>4800000</v>
      </c>
      <c r="I13" s="321"/>
      <c r="J13" s="62">
        <f t="shared" si="2"/>
        <v>29301690.509999998</v>
      </c>
      <c r="K13" s="62">
        <f t="shared" si="0"/>
        <v>37092488.149999999</v>
      </c>
      <c r="L13" s="59">
        <v>6096296</v>
      </c>
      <c r="M13" s="59">
        <v>1812749.26</v>
      </c>
      <c r="N13" s="320">
        <f t="shared" si="3"/>
        <v>7909045.2599999998</v>
      </c>
      <c r="O13" s="59">
        <v>20727549.239999995</v>
      </c>
      <c r="P13" s="59">
        <v>6082835.9500000002</v>
      </c>
      <c r="Q13" s="59">
        <v>14605060.42</v>
      </c>
      <c r="R13" s="59"/>
      <c r="S13" s="321">
        <v>86579669.709999993</v>
      </c>
      <c r="T13" s="62">
        <f t="shared" si="4"/>
        <v>127995115.31999999</v>
      </c>
      <c r="U13" s="62">
        <f t="shared" si="5"/>
        <v>135904160.57999998</v>
      </c>
      <c r="V13" s="398">
        <f t="shared" si="6"/>
        <v>1.517785796320595</v>
      </c>
      <c r="W13" s="398">
        <f t="shared" si="7"/>
        <v>336.81819407763584</v>
      </c>
      <c r="X13" s="399">
        <f t="shared" si="8"/>
        <v>266.39267775839403</v>
      </c>
    </row>
    <row r="14" spans="1:24" x14ac:dyDescent="0.35">
      <c r="A14" s="319" t="s">
        <v>45</v>
      </c>
      <c r="B14" s="59">
        <v>4830257.95</v>
      </c>
      <c r="C14" s="59">
        <f>9362999.04+5</f>
        <v>9363004.0399999991</v>
      </c>
      <c r="D14" s="320">
        <f t="shared" si="1"/>
        <v>14193261.989999998</v>
      </c>
      <c r="E14" s="59">
        <v>9995173.4200000018</v>
      </c>
      <c r="F14" s="59">
        <v>5742501.8000000007</v>
      </c>
      <c r="G14" s="59">
        <v>18076330.189999998</v>
      </c>
      <c r="H14" s="59">
        <v>5000000</v>
      </c>
      <c r="I14" s="321"/>
      <c r="J14" s="62">
        <f t="shared" si="2"/>
        <v>38814005.409999996</v>
      </c>
      <c r="K14" s="62">
        <f t="shared" si="0"/>
        <v>53007267.399999991</v>
      </c>
      <c r="L14" s="59">
        <v>5373147.6199999992</v>
      </c>
      <c r="M14" s="59">
        <v>10102325.91</v>
      </c>
      <c r="N14" s="320">
        <f t="shared" si="3"/>
        <v>15475473.529999999</v>
      </c>
      <c r="O14" s="59">
        <v>11448114.300000001</v>
      </c>
      <c r="P14" s="59">
        <v>7001943.3399999999</v>
      </c>
      <c r="Q14" s="59">
        <v>18395328.890000001</v>
      </c>
      <c r="R14" s="59"/>
      <c r="S14" s="321">
        <v>43711529.409999996</v>
      </c>
      <c r="T14" s="62">
        <f t="shared" si="4"/>
        <v>80556915.939999998</v>
      </c>
      <c r="U14" s="62">
        <f t="shared" si="5"/>
        <v>96032389.469999999</v>
      </c>
      <c r="V14" s="398">
        <f t="shared" si="6"/>
        <v>9.0339454094724356</v>
      </c>
      <c r="W14" s="398">
        <f t="shared" si="7"/>
        <v>107.54600070016326</v>
      </c>
      <c r="X14" s="399">
        <f t="shared" si="8"/>
        <v>81.168345738946769</v>
      </c>
    </row>
    <row r="15" spans="1:24" x14ac:dyDescent="0.35">
      <c r="A15" s="319" t="s">
        <v>46</v>
      </c>
      <c r="B15" s="59">
        <v>3709031.1900000004</v>
      </c>
      <c r="C15" s="59">
        <v>9523949.7700000033</v>
      </c>
      <c r="D15" s="320">
        <f t="shared" si="1"/>
        <v>13232980.960000005</v>
      </c>
      <c r="E15" s="59">
        <v>5840407.7000000002</v>
      </c>
      <c r="F15" s="59">
        <v>5348616.51</v>
      </c>
      <c r="G15" s="59">
        <v>9332609.2399999984</v>
      </c>
      <c r="H15" s="59">
        <v>4000000</v>
      </c>
      <c r="I15" s="321"/>
      <c r="J15" s="62">
        <f t="shared" si="2"/>
        <v>24521633.449999999</v>
      </c>
      <c r="K15" s="62">
        <f t="shared" si="0"/>
        <v>37754614.410000004</v>
      </c>
      <c r="L15" s="59">
        <v>4018925</v>
      </c>
      <c r="M15" s="59">
        <v>9235702.0400000028</v>
      </c>
      <c r="N15" s="320">
        <f t="shared" si="3"/>
        <v>13254627.040000003</v>
      </c>
      <c r="O15" s="59">
        <v>7740348.3499999996</v>
      </c>
      <c r="P15" s="59">
        <v>5026230.379999999</v>
      </c>
      <c r="Q15" s="59">
        <v>10013021.620000001</v>
      </c>
      <c r="R15" s="59"/>
      <c r="S15" s="321">
        <v>48572963.729999997</v>
      </c>
      <c r="T15" s="62">
        <f t="shared" si="4"/>
        <v>71352564.079999998</v>
      </c>
      <c r="U15" s="62">
        <f t="shared" si="5"/>
        <v>84607191.120000005</v>
      </c>
      <c r="V15" s="398">
        <f t="shared" si="6"/>
        <v>0.16357674862095625</v>
      </c>
      <c r="W15" s="398">
        <f t="shared" si="7"/>
        <v>190.97802242859967</v>
      </c>
      <c r="X15" s="399">
        <f t="shared" si="8"/>
        <v>124.09761678718201</v>
      </c>
    </row>
    <row r="16" spans="1:24" x14ac:dyDescent="0.35">
      <c r="A16" s="319" t="s">
        <v>47</v>
      </c>
      <c r="B16" s="59">
        <v>3110933.5</v>
      </c>
      <c r="C16" s="59">
        <v>2021707.1800000006</v>
      </c>
      <c r="D16" s="320">
        <f t="shared" si="1"/>
        <v>5132640.6800000006</v>
      </c>
      <c r="E16" s="59">
        <v>3969145</v>
      </c>
      <c r="F16" s="59">
        <v>4770830</v>
      </c>
      <c r="G16" s="59">
        <v>8316298.1500000004</v>
      </c>
      <c r="H16" s="59">
        <v>5000000</v>
      </c>
      <c r="I16" s="321"/>
      <c r="J16" s="62">
        <f t="shared" si="2"/>
        <v>22056273.149999999</v>
      </c>
      <c r="K16" s="62">
        <f t="shared" si="0"/>
        <v>27188913.829999998</v>
      </c>
      <c r="L16" s="59">
        <v>3278489.3699999992</v>
      </c>
      <c r="M16" s="59">
        <v>2890855.1300000008</v>
      </c>
      <c r="N16" s="320">
        <f t="shared" si="3"/>
        <v>6169344.5</v>
      </c>
      <c r="O16" s="59">
        <v>7411688.6799999997</v>
      </c>
      <c r="P16" s="59">
        <v>4513621.97</v>
      </c>
      <c r="Q16" s="59">
        <v>8220901.5300000003</v>
      </c>
      <c r="R16" s="59"/>
      <c r="S16" s="321">
        <v>43909313.859999999</v>
      </c>
      <c r="T16" s="62">
        <f t="shared" si="4"/>
        <v>64055526.039999999</v>
      </c>
      <c r="U16" s="62">
        <f t="shared" si="5"/>
        <v>70224870.539999992</v>
      </c>
      <c r="V16" s="398">
        <f t="shared" si="6"/>
        <v>20.198254361339771</v>
      </c>
      <c r="W16" s="398">
        <f t="shared" si="7"/>
        <v>190.41862877001958</v>
      </c>
      <c r="X16" s="399">
        <f t="shared" si="8"/>
        <v>158.28494282296231</v>
      </c>
    </row>
    <row r="17" spans="1:24" x14ac:dyDescent="0.35">
      <c r="A17" s="319" t="s">
        <v>48</v>
      </c>
      <c r="B17" s="59">
        <v>4427541</v>
      </c>
      <c r="C17" s="59">
        <v>7878603.660000002</v>
      </c>
      <c r="D17" s="320">
        <f t="shared" si="1"/>
        <v>12306144.660000002</v>
      </c>
      <c r="E17" s="59">
        <v>4590693.4000000004</v>
      </c>
      <c r="F17" s="59">
        <v>5447381</v>
      </c>
      <c r="G17" s="59">
        <v>8829170.4200000018</v>
      </c>
      <c r="H17" s="59">
        <v>2700000</v>
      </c>
      <c r="I17" s="321"/>
      <c r="J17" s="62">
        <f t="shared" si="2"/>
        <v>21567244.82</v>
      </c>
      <c r="K17" s="62">
        <f t="shared" si="0"/>
        <v>33873389.480000004</v>
      </c>
      <c r="L17" s="59">
        <v>4474692.83</v>
      </c>
      <c r="M17" s="59">
        <v>7570499.0899999999</v>
      </c>
      <c r="N17" s="320">
        <f t="shared" si="3"/>
        <v>12045191.92</v>
      </c>
      <c r="O17" s="59">
        <v>4126942.5</v>
      </c>
      <c r="P17" s="59">
        <v>4572565.25</v>
      </c>
      <c r="Q17" s="59">
        <v>8981599.6400000006</v>
      </c>
      <c r="R17" s="59"/>
      <c r="S17" s="321">
        <v>47819476.859999999</v>
      </c>
      <c r="T17" s="62">
        <f t="shared" si="4"/>
        <v>65500584.25</v>
      </c>
      <c r="U17" s="62">
        <f t="shared" si="5"/>
        <v>77545776.170000002</v>
      </c>
      <c r="V17" s="398">
        <f t="shared" si="6"/>
        <v>-2.1205076586512517</v>
      </c>
      <c r="W17" s="398">
        <f t="shared" si="7"/>
        <v>203.70399555746314</v>
      </c>
      <c r="X17" s="399">
        <f t="shared" si="8"/>
        <v>128.92830437233232</v>
      </c>
    </row>
    <row r="18" spans="1:24" x14ac:dyDescent="0.35">
      <c r="A18" s="319" t="s">
        <v>49</v>
      </c>
      <c r="B18" s="59">
        <v>3721563.98</v>
      </c>
      <c r="C18" s="59">
        <f>3426226.12+1</f>
        <v>3426227.12</v>
      </c>
      <c r="D18" s="320">
        <f t="shared" si="1"/>
        <v>7147791.0999999996</v>
      </c>
      <c r="E18" s="59">
        <v>5656548.9000000004</v>
      </c>
      <c r="F18" s="59">
        <v>4434947</v>
      </c>
      <c r="G18" s="59">
        <v>6005996.9299999997</v>
      </c>
      <c r="H18" s="59">
        <v>15000000</v>
      </c>
      <c r="I18" s="321"/>
      <c r="J18" s="62">
        <f t="shared" si="2"/>
        <v>31097492.829999998</v>
      </c>
      <c r="K18" s="62">
        <f t="shared" si="0"/>
        <v>38245283.93</v>
      </c>
      <c r="L18" s="59">
        <v>4003667.83</v>
      </c>
      <c r="M18" s="59">
        <v>3596403.98</v>
      </c>
      <c r="N18" s="320">
        <f t="shared" si="3"/>
        <v>7600071.8100000005</v>
      </c>
      <c r="O18" s="59">
        <v>5199493</v>
      </c>
      <c r="P18" s="59">
        <v>4076477</v>
      </c>
      <c r="Q18" s="59">
        <v>6018817.8199999994</v>
      </c>
      <c r="R18" s="59"/>
      <c r="S18" s="321">
        <v>60098787.950000003</v>
      </c>
      <c r="T18" s="62">
        <f t="shared" si="4"/>
        <v>75393575.770000011</v>
      </c>
      <c r="U18" s="62">
        <f t="shared" si="5"/>
        <v>82993647.580000013</v>
      </c>
      <c r="V18" s="398">
        <f t="shared" si="6"/>
        <v>6.3275591532047004</v>
      </c>
      <c r="W18" s="398">
        <f t="shared" si="7"/>
        <v>142.44261806619738</v>
      </c>
      <c r="X18" s="399">
        <f t="shared" si="8"/>
        <v>117.00361208430964</v>
      </c>
    </row>
    <row r="19" spans="1:24" x14ac:dyDescent="0.35">
      <c r="A19" s="319" t="s">
        <v>561</v>
      </c>
      <c r="B19" s="59">
        <v>4821417.78</v>
      </c>
      <c r="C19" s="59">
        <f>5968694.7+1</f>
        <v>5968695.7000000002</v>
      </c>
      <c r="D19" s="320">
        <f t="shared" si="1"/>
        <v>10790113.48</v>
      </c>
      <c r="E19" s="59">
        <v>30179122</v>
      </c>
      <c r="F19" s="59">
        <v>652981.67999999993</v>
      </c>
      <c r="G19" s="59">
        <v>14244510.76</v>
      </c>
      <c r="H19" s="59">
        <v>5000000</v>
      </c>
      <c r="I19" s="321">
        <f>14901292.62+1000000</f>
        <v>15901292.619999999</v>
      </c>
      <c r="J19" s="62">
        <f t="shared" si="2"/>
        <v>65977907.059999995</v>
      </c>
      <c r="K19" s="62">
        <f t="shared" si="0"/>
        <v>76768020.539999992</v>
      </c>
      <c r="L19" s="59">
        <v>5231382.3</v>
      </c>
      <c r="M19" s="59">
        <v>5876491.7300000004</v>
      </c>
      <c r="N19" s="320">
        <f t="shared" si="3"/>
        <v>11107874.030000001</v>
      </c>
      <c r="O19" s="59">
        <v>20001183.850000001</v>
      </c>
      <c r="P19" s="59">
        <v>730680.4</v>
      </c>
      <c r="Q19" s="59">
        <v>16276333</v>
      </c>
      <c r="R19" s="59"/>
      <c r="S19" s="321">
        <v>15390230.890000001</v>
      </c>
      <c r="T19" s="62">
        <f t="shared" si="4"/>
        <v>52398428.140000001</v>
      </c>
      <c r="U19" s="62">
        <f t="shared" si="5"/>
        <v>63506302.170000002</v>
      </c>
      <c r="V19" s="398">
        <f t="shared" si="6"/>
        <v>2.94492315200378</v>
      </c>
      <c r="W19" s="398">
        <f t="shared" si="7"/>
        <v>-20.581857662824742</v>
      </c>
      <c r="X19" s="399">
        <f t="shared" si="8"/>
        <v>-17.275055780668424</v>
      </c>
    </row>
    <row r="20" spans="1:24" x14ac:dyDescent="0.35">
      <c r="A20" s="319" t="s">
        <v>51</v>
      </c>
      <c r="B20" s="59">
        <v>3540099</v>
      </c>
      <c r="C20" s="59">
        <v>4193.5600000000004</v>
      </c>
      <c r="D20" s="320">
        <f t="shared" si="1"/>
        <v>3544292.56</v>
      </c>
      <c r="E20" s="59"/>
      <c r="F20" s="59"/>
      <c r="G20" s="59">
        <v>3600</v>
      </c>
      <c r="H20" s="59">
        <v>5206135</v>
      </c>
      <c r="I20" s="321"/>
      <c r="J20" s="62">
        <f t="shared" si="2"/>
        <v>5209735</v>
      </c>
      <c r="K20" s="62">
        <f t="shared" si="0"/>
        <v>8754027.5600000005</v>
      </c>
      <c r="L20" s="59">
        <v>3298000</v>
      </c>
      <c r="M20" s="59">
        <v>4193.5600000000004</v>
      </c>
      <c r="N20" s="320">
        <f t="shared" si="3"/>
        <v>3302193.56</v>
      </c>
      <c r="O20" s="59"/>
      <c r="P20" s="59"/>
      <c r="Q20" s="59">
        <v>2400</v>
      </c>
      <c r="R20" s="59">
        <v>4556924</v>
      </c>
      <c r="S20" s="321"/>
      <c r="T20" s="62">
        <f t="shared" si="4"/>
        <v>4559324</v>
      </c>
      <c r="U20" s="62">
        <f t="shared" si="5"/>
        <v>7861517.5600000005</v>
      </c>
      <c r="V20" s="398">
        <f t="shared" si="6"/>
        <v>-6.8306720142763835</v>
      </c>
      <c r="W20" s="398">
        <f t="shared" si="7"/>
        <v>-12.484531362919611</v>
      </c>
      <c r="X20" s="399">
        <f t="shared" si="8"/>
        <v>-10.195421408977149</v>
      </c>
    </row>
    <row r="21" spans="1:24" x14ac:dyDescent="0.35">
      <c r="A21" s="319" t="s">
        <v>52</v>
      </c>
      <c r="B21" s="59">
        <v>4609296</v>
      </c>
      <c r="C21" s="59">
        <v>4193.5600000000004</v>
      </c>
      <c r="D21" s="320">
        <f t="shared" si="1"/>
        <v>4613489.5599999996</v>
      </c>
      <c r="E21" s="59"/>
      <c r="F21" s="59">
        <v>714478</v>
      </c>
      <c r="G21" s="59">
        <v>973462</v>
      </c>
      <c r="H21" s="59"/>
      <c r="I21" s="321"/>
      <c r="J21" s="62">
        <f t="shared" si="2"/>
        <v>1687940</v>
      </c>
      <c r="K21" s="62">
        <f t="shared" si="0"/>
        <v>6301429.5599999996</v>
      </c>
      <c r="L21" s="59">
        <v>4418697</v>
      </c>
      <c r="M21" s="59">
        <v>4193.5600000000004</v>
      </c>
      <c r="N21" s="320">
        <f t="shared" si="3"/>
        <v>4422890.5599999996</v>
      </c>
      <c r="O21" s="59"/>
      <c r="P21" s="59">
        <v>658323</v>
      </c>
      <c r="Q21" s="59">
        <v>1305700</v>
      </c>
      <c r="R21" s="59"/>
      <c r="S21" s="321"/>
      <c r="T21" s="62">
        <f t="shared" si="4"/>
        <v>1964023</v>
      </c>
      <c r="U21" s="62">
        <f t="shared" si="5"/>
        <v>6386913.5599999996</v>
      </c>
      <c r="V21" s="398">
        <f t="shared" si="6"/>
        <v>-4.1313413094620728</v>
      </c>
      <c r="W21" s="398">
        <f t="shared" si="7"/>
        <v>16.356209343934026</v>
      </c>
      <c r="X21" s="399">
        <f t="shared" si="8"/>
        <v>1.3565810612663582</v>
      </c>
    </row>
    <row r="22" spans="1:24" x14ac:dyDescent="0.35">
      <c r="A22" s="319" t="s">
        <v>53</v>
      </c>
      <c r="B22" s="59">
        <v>2906064</v>
      </c>
      <c r="C22" s="59">
        <v>4193.5600000000004</v>
      </c>
      <c r="D22" s="320">
        <f t="shared" si="1"/>
        <v>2910257.56</v>
      </c>
      <c r="E22" s="59"/>
      <c r="F22" s="59"/>
      <c r="G22" s="59">
        <v>15097.990000000002</v>
      </c>
      <c r="H22" s="59">
        <v>2317951</v>
      </c>
      <c r="I22" s="321"/>
      <c r="J22" s="62">
        <f t="shared" si="2"/>
        <v>2333048.9900000002</v>
      </c>
      <c r="K22" s="62">
        <f t="shared" si="0"/>
        <v>5243306.5500000007</v>
      </c>
      <c r="L22" s="59">
        <v>2926245</v>
      </c>
      <c r="M22" s="59">
        <v>4193.5600000000004</v>
      </c>
      <c r="N22" s="320">
        <f t="shared" si="3"/>
        <v>2930438.56</v>
      </c>
      <c r="O22" s="59"/>
      <c r="P22" s="59"/>
      <c r="Q22" s="59">
        <v>39277.97</v>
      </c>
      <c r="R22" s="59">
        <v>1918000</v>
      </c>
      <c r="S22" s="321"/>
      <c r="T22" s="62">
        <f t="shared" si="4"/>
        <v>1957277.97</v>
      </c>
      <c r="U22" s="62">
        <f t="shared" si="5"/>
        <v>4887716.53</v>
      </c>
      <c r="V22" s="398">
        <f t="shared" si="6"/>
        <v>0.69344377890732112</v>
      </c>
      <c r="W22" s="398">
        <f t="shared" si="7"/>
        <v>-16.106435038897327</v>
      </c>
      <c r="X22" s="399">
        <f t="shared" si="8"/>
        <v>-6.7817896323456504</v>
      </c>
    </row>
    <row r="23" spans="1:24" x14ac:dyDescent="0.35">
      <c r="A23" s="319" t="s">
        <v>54</v>
      </c>
      <c r="B23" s="59">
        <v>2630550</v>
      </c>
      <c r="C23" s="59">
        <v>33970.839999999989</v>
      </c>
      <c r="D23" s="320">
        <f t="shared" si="1"/>
        <v>2664520.84</v>
      </c>
      <c r="E23" s="59"/>
      <c r="F23" s="59"/>
      <c r="G23" s="59">
        <v>3600</v>
      </c>
      <c r="H23" s="59">
        <v>2646374</v>
      </c>
      <c r="I23" s="321"/>
      <c r="J23" s="62">
        <f t="shared" si="2"/>
        <v>2649974</v>
      </c>
      <c r="K23" s="62">
        <f t="shared" si="0"/>
        <v>5314494.84</v>
      </c>
      <c r="L23" s="59">
        <v>2482350</v>
      </c>
      <c r="M23" s="59">
        <v>33970.859999999993</v>
      </c>
      <c r="N23" s="320">
        <f t="shared" si="3"/>
        <v>2516320.86</v>
      </c>
      <c r="O23" s="59"/>
      <c r="P23" s="59"/>
      <c r="Q23" s="59">
        <v>3600</v>
      </c>
      <c r="R23" s="59">
        <v>3079881</v>
      </c>
      <c r="S23" s="321"/>
      <c r="T23" s="62">
        <f t="shared" si="4"/>
        <v>3083481</v>
      </c>
      <c r="U23" s="62">
        <f t="shared" si="5"/>
        <v>5599801.8599999994</v>
      </c>
      <c r="V23" s="398">
        <f t="shared" si="6"/>
        <v>-5.5619748877625588</v>
      </c>
      <c r="W23" s="398">
        <f t="shared" si="7"/>
        <v>16.358915219545551</v>
      </c>
      <c r="X23" s="399">
        <f t="shared" si="8"/>
        <v>5.3684692259480968</v>
      </c>
    </row>
    <row r="24" spans="1:24" x14ac:dyDescent="0.35">
      <c r="A24" s="319" t="s">
        <v>55</v>
      </c>
      <c r="B24" s="59">
        <v>2396173.75</v>
      </c>
      <c r="C24" s="59">
        <v>4193.5600000000004</v>
      </c>
      <c r="D24" s="320">
        <f t="shared" si="1"/>
        <v>2400367.31</v>
      </c>
      <c r="E24" s="59"/>
      <c r="F24" s="59">
        <v>1167398.3399999999</v>
      </c>
      <c r="G24" s="59">
        <v>77733.61</v>
      </c>
      <c r="H24" s="59">
        <v>3507338</v>
      </c>
      <c r="I24" s="321"/>
      <c r="J24" s="62">
        <f t="shared" si="2"/>
        <v>4752469.95</v>
      </c>
      <c r="K24" s="62">
        <f t="shared" si="0"/>
        <v>7152837.2599999998</v>
      </c>
      <c r="L24" s="59">
        <v>2240940</v>
      </c>
      <c r="M24" s="59">
        <v>17790.97</v>
      </c>
      <c r="N24" s="320">
        <f t="shared" si="3"/>
        <v>2258730.9700000002</v>
      </c>
      <c r="O24" s="59"/>
      <c r="P24" s="59"/>
      <c r="Q24" s="59">
        <v>3600</v>
      </c>
      <c r="R24" s="59">
        <v>2403034</v>
      </c>
      <c r="S24" s="321"/>
      <c r="T24" s="62">
        <f t="shared" si="4"/>
        <v>2406634</v>
      </c>
      <c r="U24" s="62">
        <f t="shared" si="5"/>
        <v>4665364.9700000007</v>
      </c>
      <c r="V24" s="398">
        <f t="shared" si="6"/>
        <v>-5.9006111027232677</v>
      </c>
      <c r="W24" s="398">
        <f t="shared" si="7"/>
        <v>-49.360353135951975</v>
      </c>
      <c r="X24" s="399">
        <f t="shared" si="8"/>
        <v>-34.776022431132439</v>
      </c>
    </row>
    <row r="25" spans="1:24" x14ac:dyDescent="0.35">
      <c r="A25" s="311" t="s">
        <v>56</v>
      </c>
      <c r="B25" s="324"/>
      <c r="C25" s="325"/>
      <c r="D25" s="320"/>
      <c r="E25" s="324"/>
      <c r="F25" s="324"/>
      <c r="G25" s="324"/>
      <c r="H25" s="324"/>
      <c r="I25" s="321"/>
      <c r="J25" s="62"/>
      <c r="K25" s="62"/>
      <c r="L25" s="324"/>
      <c r="M25" s="325"/>
      <c r="N25" s="320"/>
      <c r="O25" s="324"/>
      <c r="P25" s="324"/>
      <c r="Q25" s="324"/>
      <c r="R25" s="324"/>
      <c r="S25" s="321"/>
      <c r="T25" s="62"/>
      <c r="U25" s="62"/>
      <c r="V25" s="398"/>
      <c r="W25" s="398"/>
      <c r="X25" s="399"/>
    </row>
    <row r="26" spans="1:24" x14ac:dyDescent="0.35">
      <c r="A26" s="319" t="s">
        <v>57</v>
      </c>
      <c r="B26" s="59">
        <v>269148.36</v>
      </c>
      <c r="C26" s="59">
        <v>52763.090000000011</v>
      </c>
      <c r="D26" s="320">
        <f t="shared" si="1"/>
        <v>321911.45</v>
      </c>
      <c r="E26" s="59">
        <v>59200</v>
      </c>
      <c r="F26" s="59">
        <v>515484.94999999995</v>
      </c>
      <c r="G26" s="59">
        <v>54280.220000000016</v>
      </c>
      <c r="H26" s="59"/>
      <c r="I26" s="321"/>
      <c r="J26" s="62">
        <f t="shared" si="2"/>
        <v>628965.16999999993</v>
      </c>
      <c r="K26" s="62">
        <f t="shared" ref="K26:K38" si="9">SUM(D26+J26)</f>
        <v>950876.61999999988</v>
      </c>
      <c r="L26" s="59">
        <v>383587.25</v>
      </c>
      <c r="M26" s="59">
        <v>47536.420000000013</v>
      </c>
      <c r="N26" s="320">
        <f t="shared" ref="N26:N38" si="10">SUM(L26:M26)</f>
        <v>431123.67000000004</v>
      </c>
      <c r="O26" s="59">
        <v>15800</v>
      </c>
      <c r="P26" s="59">
        <v>520087.33999999997</v>
      </c>
      <c r="Q26" s="59">
        <v>203893.03000000003</v>
      </c>
      <c r="R26" s="59"/>
      <c r="S26" s="321"/>
      <c r="T26" s="62">
        <f t="shared" si="4"/>
        <v>739780.37</v>
      </c>
      <c r="U26" s="62">
        <f t="shared" ref="U26:U38" si="11">SUM(N26+T26)</f>
        <v>1170904.04</v>
      </c>
      <c r="V26" s="398">
        <f t="shared" si="6"/>
        <v>33.926168205573312</v>
      </c>
      <c r="W26" s="398">
        <f t="shared" si="7"/>
        <v>17.618654463807605</v>
      </c>
      <c r="X26" s="399">
        <f t="shared" si="8"/>
        <v>23.139428961877321</v>
      </c>
    </row>
    <row r="27" spans="1:24" x14ac:dyDescent="0.35">
      <c r="A27" s="319" t="s">
        <v>58</v>
      </c>
      <c r="B27" s="59">
        <v>414483728.72000003</v>
      </c>
      <c r="C27" s="59">
        <f>91406205.9799999+30204.46</f>
        <v>91436410.439999893</v>
      </c>
      <c r="D27" s="320">
        <f t="shared" si="1"/>
        <v>505920139.15999991</v>
      </c>
      <c r="E27" s="59">
        <v>6230596.9400000004</v>
      </c>
      <c r="F27" s="59">
        <v>2835077.76</v>
      </c>
      <c r="G27" s="59">
        <v>139197285.59000003</v>
      </c>
      <c r="H27" s="59">
        <v>117925713</v>
      </c>
      <c r="I27" s="321">
        <f>60000000+20254940+4465410.44</f>
        <v>84720350.439999998</v>
      </c>
      <c r="J27" s="62">
        <f t="shared" si="2"/>
        <v>350909023.73000002</v>
      </c>
      <c r="K27" s="62">
        <f t="shared" si="9"/>
        <v>856829162.88999987</v>
      </c>
      <c r="L27" s="59">
        <v>417055878.57999992</v>
      </c>
      <c r="M27" s="59">
        <v>43091880.770000003</v>
      </c>
      <c r="N27" s="320">
        <f t="shared" si="10"/>
        <v>460147759.3499999</v>
      </c>
      <c r="O27" s="59">
        <v>6713259.7999999998</v>
      </c>
      <c r="P27" s="59">
        <v>3377101.47</v>
      </c>
      <c r="Q27" s="59">
        <v>167015462.00999999</v>
      </c>
      <c r="R27" s="59">
        <v>136172.25</v>
      </c>
      <c r="S27" s="321">
        <v>60000000</v>
      </c>
      <c r="T27" s="62">
        <f t="shared" si="4"/>
        <v>237241995.53</v>
      </c>
      <c r="U27" s="62">
        <f t="shared" si="11"/>
        <v>697389754.87999988</v>
      </c>
      <c r="V27" s="398">
        <f t="shared" si="6"/>
        <v>-9.0473527869433639</v>
      </c>
      <c r="W27" s="398">
        <f t="shared" si="7"/>
        <v>-32.392164496590105</v>
      </c>
      <c r="X27" s="399">
        <f t="shared" si="8"/>
        <v>-18.608074388157689</v>
      </c>
    </row>
    <row r="28" spans="1:24" x14ac:dyDescent="0.35">
      <c r="A28" s="319" t="s">
        <v>59</v>
      </c>
      <c r="B28" s="59">
        <v>2333667.6800000002</v>
      </c>
      <c r="C28" s="59">
        <f>1146212.48+2</f>
        <v>1146214.48</v>
      </c>
      <c r="D28" s="320">
        <f t="shared" si="1"/>
        <v>3479882.16</v>
      </c>
      <c r="E28" s="59">
        <v>13887689.440000001</v>
      </c>
      <c r="F28" s="59">
        <v>4905713.75</v>
      </c>
      <c r="G28" s="59">
        <v>31665730.369999997</v>
      </c>
      <c r="H28" s="59">
        <v>94583000</v>
      </c>
      <c r="I28" s="321">
        <f>49730942+190795712.06+341410280.1+596400+6631900+10000000+5274480+58368511.21+4500000+5500000+3249995.19+2499989.44+3987968.9</f>
        <v>682546178.90000021</v>
      </c>
      <c r="J28" s="62">
        <f t="shared" si="2"/>
        <v>827588312.46000028</v>
      </c>
      <c r="K28" s="62">
        <f t="shared" si="9"/>
        <v>831068194.62000024</v>
      </c>
      <c r="L28" s="59">
        <v>2523288.67</v>
      </c>
      <c r="M28" s="59">
        <v>955752.89</v>
      </c>
      <c r="N28" s="320">
        <f t="shared" si="10"/>
        <v>3479041.56</v>
      </c>
      <c r="O28" s="59">
        <v>15035631.58</v>
      </c>
      <c r="P28" s="59">
        <v>972234.13</v>
      </c>
      <c r="Q28" s="59">
        <v>13965693.569999997</v>
      </c>
      <c r="R28" s="59">
        <v>46000000</v>
      </c>
      <c r="S28" s="321">
        <v>74750066.760000005</v>
      </c>
      <c r="T28" s="62">
        <f t="shared" si="4"/>
        <v>150723626.04000002</v>
      </c>
      <c r="U28" s="62">
        <f t="shared" si="11"/>
        <v>154202667.60000002</v>
      </c>
      <c r="V28" s="398">
        <f t="shared" si="6"/>
        <v>-2.4155990385608145E-2</v>
      </c>
      <c r="W28" s="398">
        <f t="shared" si="7"/>
        <v>-81.787608189877034</v>
      </c>
      <c r="X28" s="399">
        <f t="shared" si="8"/>
        <v>-81.445244975292553</v>
      </c>
    </row>
    <row r="29" spans="1:24" x14ac:dyDescent="0.35">
      <c r="A29" s="326" t="s">
        <v>562</v>
      </c>
      <c r="B29" s="59">
        <v>1506635.85</v>
      </c>
      <c r="C29" s="59">
        <f>428537.31+4</f>
        <v>428541.31</v>
      </c>
      <c r="D29" s="320">
        <f t="shared" si="1"/>
        <v>1935177.1600000001</v>
      </c>
      <c r="E29" s="59">
        <v>24738808.719999999</v>
      </c>
      <c r="F29" s="59">
        <v>430165</v>
      </c>
      <c r="G29" s="59">
        <v>4670127.5600000005</v>
      </c>
      <c r="H29" s="59"/>
      <c r="I29" s="321"/>
      <c r="J29" s="62">
        <f t="shared" si="2"/>
        <v>29839101.280000001</v>
      </c>
      <c r="K29" s="62">
        <f t="shared" si="9"/>
        <v>31774278.440000001</v>
      </c>
      <c r="L29" s="59">
        <v>1344371.47</v>
      </c>
      <c r="M29" s="59">
        <v>436465.13</v>
      </c>
      <c r="N29" s="320">
        <f t="shared" si="10"/>
        <v>1780836.6</v>
      </c>
      <c r="O29" s="59">
        <v>29660962.350000001</v>
      </c>
      <c r="P29" s="59">
        <v>259922</v>
      </c>
      <c r="Q29" s="59">
        <v>5554489</v>
      </c>
      <c r="R29" s="59"/>
      <c r="S29" s="321">
        <v>553415.4</v>
      </c>
      <c r="T29" s="62">
        <f t="shared" si="4"/>
        <v>36028788.75</v>
      </c>
      <c r="U29" s="62">
        <f t="shared" si="11"/>
        <v>37809625.350000001</v>
      </c>
      <c r="V29" s="398">
        <f t="shared" si="6"/>
        <v>-7.975526127023949</v>
      </c>
      <c r="W29" s="398">
        <f t="shared" si="7"/>
        <v>20.743545229187944</v>
      </c>
      <c r="X29" s="399">
        <f t="shared" si="8"/>
        <v>18.994442065448204</v>
      </c>
    </row>
    <row r="30" spans="1:24" x14ac:dyDescent="0.35">
      <c r="A30" s="326" t="s">
        <v>61</v>
      </c>
      <c r="B30" s="59">
        <v>1702692.5</v>
      </c>
      <c r="C30" s="59">
        <f>42496706.06+5</f>
        <v>42496711.060000002</v>
      </c>
      <c r="D30" s="320">
        <f t="shared" si="1"/>
        <v>44199403.560000002</v>
      </c>
      <c r="E30" s="59">
        <v>2681582.61</v>
      </c>
      <c r="F30" s="59">
        <v>739621.23</v>
      </c>
      <c r="G30" s="59">
        <v>55746053.399999999</v>
      </c>
      <c r="H30" s="59"/>
      <c r="I30" s="321"/>
      <c r="J30" s="62">
        <f t="shared" si="2"/>
        <v>59167257.239999995</v>
      </c>
      <c r="K30" s="62">
        <f t="shared" si="9"/>
        <v>103366660.8</v>
      </c>
      <c r="L30" s="59">
        <v>1573675.25</v>
      </c>
      <c r="M30" s="59">
        <v>30934380.23</v>
      </c>
      <c r="N30" s="320">
        <f t="shared" si="10"/>
        <v>32508055.48</v>
      </c>
      <c r="O30" s="59">
        <v>2720340.99</v>
      </c>
      <c r="P30" s="59">
        <v>675315.83000000007</v>
      </c>
      <c r="Q30" s="59">
        <v>57765118.769999973</v>
      </c>
      <c r="R30" s="59"/>
      <c r="S30" s="321"/>
      <c r="T30" s="62">
        <f t="shared" si="4"/>
        <v>61160775.589999974</v>
      </c>
      <c r="U30" s="62">
        <f t="shared" si="11"/>
        <v>93668831.069999978</v>
      </c>
      <c r="V30" s="398">
        <f t="shared" si="6"/>
        <v>-26.451370693564179</v>
      </c>
      <c r="W30" s="398">
        <f t="shared" si="7"/>
        <v>3.3692931580615202</v>
      </c>
      <c r="X30" s="399">
        <f t="shared" si="8"/>
        <v>-9.3819706034269217</v>
      </c>
    </row>
    <row r="31" spans="1:24" x14ac:dyDescent="0.35">
      <c r="A31" s="326" t="s">
        <v>62</v>
      </c>
      <c r="B31" s="59">
        <v>4598885.75</v>
      </c>
      <c r="C31" s="59">
        <f>24021903.23+1</f>
        <v>24021904.23</v>
      </c>
      <c r="D31" s="320">
        <f t="shared" si="1"/>
        <v>28620789.98</v>
      </c>
      <c r="E31" s="59">
        <v>3413275.24</v>
      </c>
      <c r="F31" s="59">
        <v>17052349.57</v>
      </c>
      <c r="G31" s="59">
        <v>24504150.760000002</v>
      </c>
      <c r="H31" s="59"/>
      <c r="I31" s="321"/>
      <c r="J31" s="62">
        <f t="shared" si="2"/>
        <v>44969775.570000008</v>
      </c>
      <c r="K31" s="62">
        <f t="shared" si="9"/>
        <v>73590565.550000012</v>
      </c>
      <c r="L31" s="59">
        <v>5209727.26</v>
      </c>
      <c r="M31" s="59">
        <v>14957382.039999999</v>
      </c>
      <c r="N31" s="320">
        <f t="shared" si="10"/>
        <v>20167109.299999997</v>
      </c>
      <c r="O31" s="59">
        <v>3266227.45</v>
      </c>
      <c r="P31" s="59">
        <v>15399461.760000002</v>
      </c>
      <c r="Q31" s="59">
        <v>27733421.109999999</v>
      </c>
      <c r="R31" s="59"/>
      <c r="S31" s="321"/>
      <c r="T31" s="62">
        <f t="shared" si="4"/>
        <v>46399110.32</v>
      </c>
      <c r="U31" s="62">
        <f t="shared" si="11"/>
        <v>66566219.619999997</v>
      </c>
      <c r="V31" s="398">
        <f t="shared" si="6"/>
        <v>-29.53685305649276</v>
      </c>
      <c r="W31" s="398">
        <f t="shared" si="7"/>
        <v>3.1784342525238718</v>
      </c>
      <c r="X31" s="399">
        <f t="shared" si="8"/>
        <v>-9.5451718267166008</v>
      </c>
    </row>
    <row r="32" spans="1:24" x14ac:dyDescent="0.35">
      <c r="A32" s="326" t="s">
        <v>563</v>
      </c>
      <c r="B32" s="59">
        <v>3587255.76</v>
      </c>
      <c r="C32" s="59">
        <v>1581460.2000000002</v>
      </c>
      <c r="D32" s="320">
        <f t="shared" si="1"/>
        <v>5168715.96</v>
      </c>
      <c r="E32" s="59">
        <v>2512054</v>
      </c>
      <c r="F32" s="59">
        <v>1585629.56</v>
      </c>
      <c r="G32" s="59">
        <v>4965947.5399999991</v>
      </c>
      <c r="H32" s="59"/>
      <c r="I32" s="321"/>
      <c r="J32" s="62">
        <f t="shared" si="2"/>
        <v>9063631.0999999996</v>
      </c>
      <c r="K32" s="62">
        <f t="shared" si="9"/>
        <v>14232347.059999999</v>
      </c>
      <c r="L32" s="59">
        <v>3874203.7699999996</v>
      </c>
      <c r="M32" s="59">
        <v>1662951.92</v>
      </c>
      <c r="N32" s="320">
        <f t="shared" si="10"/>
        <v>5537155.6899999995</v>
      </c>
      <c r="O32" s="59">
        <v>2313961.6</v>
      </c>
      <c r="P32" s="59">
        <v>1263280.43</v>
      </c>
      <c r="Q32" s="59">
        <v>6047408.3399999999</v>
      </c>
      <c r="R32" s="59"/>
      <c r="S32" s="321"/>
      <c r="T32" s="62">
        <f t="shared" si="4"/>
        <v>9624650.370000001</v>
      </c>
      <c r="U32" s="62">
        <f t="shared" si="11"/>
        <v>15161806.060000001</v>
      </c>
      <c r="V32" s="398">
        <f t="shared" si="6"/>
        <v>7.1282642120655346</v>
      </c>
      <c r="W32" s="398">
        <f t="shared" si="7"/>
        <v>6.1897849086113119</v>
      </c>
      <c r="X32" s="399">
        <f t="shared" si="8"/>
        <v>6.5306094355459168</v>
      </c>
    </row>
    <row r="33" spans="1:24" x14ac:dyDescent="0.35">
      <c r="A33" s="326" t="s">
        <v>64</v>
      </c>
      <c r="B33" s="59">
        <v>1561663.5</v>
      </c>
      <c r="C33" s="59">
        <f>418062.27+2</f>
        <v>418064.27</v>
      </c>
      <c r="D33" s="320">
        <f t="shared" si="1"/>
        <v>1979727.77</v>
      </c>
      <c r="E33" s="59">
        <v>1062457.82</v>
      </c>
      <c r="F33" s="59">
        <v>278225.11</v>
      </c>
      <c r="G33" s="59">
        <v>2614418.42</v>
      </c>
      <c r="H33" s="59">
        <v>175002820</v>
      </c>
      <c r="I33" s="321">
        <f>34966859</f>
        <v>34966859</v>
      </c>
      <c r="J33" s="62">
        <f t="shared" si="2"/>
        <v>213924780.34999999</v>
      </c>
      <c r="K33" s="62">
        <f t="shared" si="9"/>
        <v>215904508.12</v>
      </c>
      <c r="L33" s="59">
        <v>1756517.5</v>
      </c>
      <c r="M33" s="59">
        <v>670617.71</v>
      </c>
      <c r="N33" s="320">
        <f t="shared" si="10"/>
        <v>2427135.21</v>
      </c>
      <c r="O33" s="59">
        <v>764714.36</v>
      </c>
      <c r="P33" s="59">
        <v>67451.100000000006</v>
      </c>
      <c r="Q33" s="59">
        <v>2440219.7999999998</v>
      </c>
      <c r="R33" s="59">
        <v>359999942</v>
      </c>
      <c r="S33" s="321"/>
      <c r="T33" s="62">
        <f t="shared" si="4"/>
        <v>363272327.25999999</v>
      </c>
      <c r="U33" s="62">
        <f t="shared" si="11"/>
        <v>365699462.46999997</v>
      </c>
      <c r="V33" s="398">
        <f t="shared" si="6"/>
        <v>22.599442548608586</v>
      </c>
      <c r="W33" s="398">
        <f t="shared" si="7"/>
        <v>69.813112190955209</v>
      </c>
      <c r="X33" s="399">
        <f t="shared" si="8"/>
        <v>69.380188331567268</v>
      </c>
    </row>
    <row r="34" spans="1:24" x14ac:dyDescent="0.35">
      <c r="A34" s="326" t="s">
        <v>65</v>
      </c>
      <c r="B34" s="59">
        <v>1208907.25</v>
      </c>
      <c r="C34" s="59">
        <f>11109993.44+3</f>
        <v>11109996.439999999</v>
      </c>
      <c r="D34" s="320">
        <f t="shared" si="1"/>
        <v>12318903.689999999</v>
      </c>
      <c r="E34" s="59">
        <v>7061686.1099999994</v>
      </c>
      <c r="F34" s="59">
        <v>567823.34</v>
      </c>
      <c r="G34" s="59">
        <v>15306737.23</v>
      </c>
      <c r="H34" s="59"/>
      <c r="I34" s="321">
        <f>19500+200000+34000+57352+12500000+14483.52+198497+8280+480000+12240800.34+2122458.07+1158880+399680+199990</f>
        <v>29633920.93</v>
      </c>
      <c r="J34" s="62">
        <f t="shared" si="2"/>
        <v>52570167.609999999</v>
      </c>
      <c r="K34" s="62">
        <f t="shared" si="9"/>
        <v>64889071.299999997</v>
      </c>
      <c r="L34" s="59">
        <v>1295913.8500000001</v>
      </c>
      <c r="M34" s="59">
        <v>11199288.199999999</v>
      </c>
      <c r="N34" s="320">
        <f t="shared" si="10"/>
        <v>12495202.049999999</v>
      </c>
      <c r="O34" s="59">
        <v>7089219</v>
      </c>
      <c r="P34" s="59">
        <v>597434.92999999993</v>
      </c>
      <c r="Q34" s="59">
        <v>30908170.420000002</v>
      </c>
      <c r="R34" s="59">
        <v>47907000</v>
      </c>
      <c r="S34" s="321">
        <v>72055331.629999995</v>
      </c>
      <c r="T34" s="62">
        <f t="shared" si="4"/>
        <v>158557155.97999999</v>
      </c>
      <c r="U34" s="62">
        <f t="shared" si="11"/>
        <v>171052358.03</v>
      </c>
      <c r="V34" s="398">
        <f t="shared" si="6"/>
        <v>1.4311205317979023</v>
      </c>
      <c r="W34" s="398">
        <f t="shared" si="7"/>
        <v>201.6105201647463</v>
      </c>
      <c r="X34" s="399">
        <f t="shared" si="8"/>
        <v>163.60734497058522</v>
      </c>
    </row>
    <row r="35" spans="1:24" x14ac:dyDescent="0.35">
      <c r="A35" s="326" t="s">
        <v>66</v>
      </c>
      <c r="B35" s="59">
        <v>1288654.5899999999</v>
      </c>
      <c r="C35" s="59">
        <v>3346187.29</v>
      </c>
      <c r="D35" s="320">
        <f t="shared" si="1"/>
        <v>4634841.88</v>
      </c>
      <c r="E35" s="59">
        <v>2455445.1</v>
      </c>
      <c r="F35" s="59">
        <v>27619753.25</v>
      </c>
      <c r="G35" s="59">
        <v>16677394.009999998</v>
      </c>
      <c r="H35" s="59">
        <v>20960500</v>
      </c>
      <c r="I35" s="321"/>
      <c r="J35" s="62">
        <f t="shared" si="2"/>
        <v>67713092.359999999</v>
      </c>
      <c r="K35" s="62">
        <f t="shared" si="9"/>
        <v>72347934.239999995</v>
      </c>
      <c r="L35" s="59">
        <v>1058918.5</v>
      </c>
      <c r="M35" s="59">
        <v>2853886.56</v>
      </c>
      <c r="N35" s="320">
        <f t="shared" si="10"/>
        <v>3912805.06</v>
      </c>
      <c r="O35" s="59">
        <v>1842582.47</v>
      </c>
      <c r="P35" s="59">
        <v>16909709.710000001</v>
      </c>
      <c r="Q35" s="59">
        <v>9526135.6400000006</v>
      </c>
      <c r="R35" s="59">
        <v>93510345.099999994</v>
      </c>
      <c r="S35" s="321"/>
      <c r="T35" s="62">
        <f t="shared" si="4"/>
        <v>121788772.91999999</v>
      </c>
      <c r="U35" s="62">
        <f t="shared" si="11"/>
        <v>125701577.97999999</v>
      </c>
      <c r="V35" s="398">
        <f t="shared" si="6"/>
        <v>-15.578456367965671</v>
      </c>
      <c r="W35" s="398">
        <f t="shared" si="7"/>
        <v>79.860007386022133</v>
      </c>
      <c r="X35" s="399">
        <f t="shared" si="8"/>
        <v>73.745911753347102</v>
      </c>
    </row>
    <row r="36" spans="1:24" x14ac:dyDescent="0.35">
      <c r="A36" s="326" t="s">
        <v>67</v>
      </c>
      <c r="B36" s="59">
        <v>631302</v>
      </c>
      <c r="C36" s="59">
        <v>46348.53</v>
      </c>
      <c r="D36" s="320">
        <f t="shared" si="1"/>
        <v>677650.53</v>
      </c>
      <c r="E36" s="59">
        <v>855874</v>
      </c>
      <c r="F36" s="59">
        <v>10020</v>
      </c>
      <c r="G36" s="59">
        <v>88716.62</v>
      </c>
      <c r="H36" s="59"/>
      <c r="I36" s="321"/>
      <c r="J36" s="62">
        <f t="shared" si="2"/>
        <v>954610.62</v>
      </c>
      <c r="K36" s="62">
        <f t="shared" si="9"/>
        <v>1632261.15</v>
      </c>
      <c r="L36" s="59">
        <v>662557</v>
      </c>
      <c r="M36" s="59">
        <v>43899.98</v>
      </c>
      <c r="N36" s="320">
        <f t="shared" si="10"/>
        <v>706456.98</v>
      </c>
      <c r="O36" s="59">
        <v>702188</v>
      </c>
      <c r="P36" s="59">
        <v>5650</v>
      </c>
      <c r="Q36" s="59">
        <v>161726.34</v>
      </c>
      <c r="R36" s="59"/>
      <c r="S36" s="321"/>
      <c r="T36" s="62">
        <f t="shared" si="4"/>
        <v>869564.34</v>
      </c>
      <c r="U36" s="62">
        <f t="shared" si="11"/>
        <v>1576021.3199999998</v>
      </c>
      <c r="V36" s="398">
        <f t="shared" si="6"/>
        <v>4.2509300479702938</v>
      </c>
      <c r="W36" s="398">
        <f t="shared" si="7"/>
        <v>-8.9090020808693744</v>
      </c>
      <c r="X36" s="399">
        <f t="shared" si="8"/>
        <v>-3.4455166687021914</v>
      </c>
    </row>
    <row r="37" spans="1:24" x14ac:dyDescent="0.35">
      <c r="A37" s="326" t="s">
        <v>68</v>
      </c>
      <c r="B37" s="59">
        <v>2257421.5699999998</v>
      </c>
      <c r="C37" s="59">
        <v>6793821.2800000012</v>
      </c>
      <c r="D37" s="320">
        <f t="shared" si="1"/>
        <v>9051242.8500000015</v>
      </c>
      <c r="E37" s="59">
        <v>2158441.2599999998</v>
      </c>
      <c r="F37" s="59">
        <v>590641.03</v>
      </c>
      <c r="G37" s="59">
        <v>21156758.5</v>
      </c>
      <c r="H37" s="59"/>
      <c r="I37" s="321"/>
      <c r="J37" s="62">
        <f t="shared" si="2"/>
        <v>23905840.789999999</v>
      </c>
      <c r="K37" s="62">
        <f t="shared" si="9"/>
        <v>32957083.640000001</v>
      </c>
      <c r="L37" s="59">
        <v>2722449.7199999997</v>
      </c>
      <c r="M37" s="59">
        <v>6738444.4900000002</v>
      </c>
      <c r="N37" s="320">
        <f t="shared" si="10"/>
        <v>9460894.2100000009</v>
      </c>
      <c r="O37" s="59">
        <v>2105672.11</v>
      </c>
      <c r="P37" s="59">
        <v>229642.09</v>
      </c>
      <c r="Q37" s="59">
        <v>27302862.709999997</v>
      </c>
      <c r="R37" s="59"/>
      <c r="S37" s="321"/>
      <c r="T37" s="62">
        <f t="shared" si="4"/>
        <v>29638176.909999996</v>
      </c>
      <c r="U37" s="62">
        <f t="shared" si="11"/>
        <v>39099071.119999997</v>
      </c>
      <c r="V37" s="398">
        <f t="shared" si="6"/>
        <v>4.5259128142827292</v>
      </c>
      <c r="W37" s="398">
        <f t="shared" si="7"/>
        <v>23.978809908237483</v>
      </c>
      <c r="X37" s="399">
        <f t="shared" si="8"/>
        <v>18.636319727469662</v>
      </c>
    </row>
    <row r="38" spans="1:24" x14ac:dyDescent="0.35">
      <c r="A38" s="326" t="s">
        <v>69</v>
      </c>
      <c r="B38" s="59">
        <v>2896676.25</v>
      </c>
      <c r="C38" s="59">
        <v>3647788.34</v>
      </c>
      <c r="D38" s="320">
        <f t="shared" si="1"/>
        <v>6544464.5899999999</v>
      </c>
      <c r="E38" s="59">
        <v>1266635</v>
      </c>
      <c r="F38" s="59">
        <v>2750790</v>
      </c>
      <c r="G38" s="59">
        <v>10223729.93</v>
      </c>
      <c r="H38" s="59"/>
      <c r="I38" s="321"/>
      <c r="J38" s="62">
        <f t="shared" si="2"/>
        <v>14241154.93</v>
      </c>
      <c r="K38" s="62">
        <f t="shared" si="9"/>
        <v>20785619.52</v>
      </c>
      <c r="L38" s="59">
        <v>3146898.67</v>
      </c>
      <c r="M38" s="59">
        <v>4867242.2599999979</v>
      </c>
      <c r="N38" s="320">
        <f t="shared" si="10"/>
        <v>8014140.9299999978</v>
      </c>
      <c r="O38" s="59">
        <v>1214698.5</v>
      </c>
      <c r="P38" s="59">
        <v>2654901</v>
      </c>
      <c r="Q38" s="59">
        <v>7990706.9800000004</v>
      </c>
      <c r="R38" s="59"/>
      <c r="S38" s="321">
        <v>17276189.649999999</v>
      </c>
      <c r="T38" s="62">
        <f t="shared" si="4"/>
        <v>29136496.129999999</v>
      </c>
      <c r="U38" s="62">
        <f t="shared" si="11"/>
        <v>37150637.059999995</v>
      </c>
      <c r="V38" s="398">
        <f t="shared" si="6"/>
        <v>22.456784963672604</v>
      </c>
      <c r="W38" s="398">
        <f t="shared" si="7"/>
        <v>104.59363214019891</v>
      </c>
      <c r="X38" s="399">
        <f t="shared" si="8"/>
        <v>78.732402102585951</v>
      </c>
    </row>
    <row r="39" spans="1:24" s="327" customFormat="1" ht="18.75" x14ac:dyDescent="0.25">
      <c r="A39" s="326"/>
      <c r="B39" s="59"/>
      <c r="C39" s="59"/>
      <c r="D39" s="320"/>
      <c r="E39" s="59"/>
      <c r="F39" s="59"/>
      <c r="G39" s="59"/>
      <c r="H39" s="59"/>
      <c r="I39" s="321"/>
      <c r="J39" s="62"/>
      <c r="K39" s="62"/>
      <c r="L39" s="59"/>
      <c r="M39" s="59"/>
      <c r="N39" s="320"/>
      <c r="O39" s="59"/>
      <c r="P39" s="59"/>
      <c r="Q39" s="59"/>
      <c r="R39" s="59"/>
      <c r="S39" s="321"/>
      <c r="T39" s="62"/>
      <c r="U39" s="62"/>
      <c r="V39" s="322"/>
      <c r="W39" s="322"/>
      <c r="X39" s="323"/>
    </row>
    <row r="40" spans="1:24" s="334" customFormat="1" ht="21.75" thickBot="1" x14ac:dyDescent="0.25">
      <c r="A40" s="328" t="s">
        <v>178</v>
      </c>
      <c r="B40" s="329">
        <f>SUM(B10:B39)</f>
        <v>495885340.46000004</v>
      </c>
      <c r="C40" s="329">
        <f>SUM(C10:C39)</f>
        <v>243692187.4199999</v>
      </c>
      <c r="D40" s="329">
        <f>SUM(D10:D39)</f>
        <v>739577527.88</v>
      </c>
      <c r="E40" s="329">
        <f>SUM(E10:E39)</f>
        <v>152075358.19999996</v>
      </c>
      <c r="F40" s="329">
        <f>SUM(F10:F38)</f>
        <v>109777338.97000001</v>
      </c>
      <c r="G40" s="329">
        <f>SUM(G10:G38)</f>
        <v>432779427.99000007</v>
      </c>
      <c r="H40" s="329">
        <f>SUM(H9:H38)</f>
        <v>476966331</v>
      </c>
      <c r="I40" s="330">
        <f>SUM(I9:I38)</f>
        <v>847768601.89000022</v>
      </c>
      <c r="J40" s="329">
        <f>SUM(J9:J39)</f>
        <v>2019367058.0499997</v>
      </c>
      <c r="K40" s="331">
        <f>SUM(K10:K38)</f>
        <v>2758944585.9300003</v>
      </c>
      <c r="L40" s="329">
        <f>SUM(L10:L39)</f>
        <v>503128336.31</v>
      </c>
      <c r="M40" s="329">
        <f>SUM(M10:M39)</f>
        <v>181554110.65999997</v>
      </c>
      <c r="N40" s="329">
        <f>SUM(N10:N39)</f>
        <v>684682446.96999979</v>
      </c>
      <c r="O40" s="329">
        <f>SUM(O10:O39)</f>
        <v>171704290.64000002</v>
      </c>
      <c r="P40" s="329">
        <f>SUM(P10:P38)</f>
        <v>89474347.580000013</v>
      </c>
      <c r="Q40" s="329">
        <f>SUM(Q10:Q38)</f>
        <v>473182671.18999994</v>
      </c>
      <c r="R40" s="329">
        <f>SUM(R9:R38)</f>
        <v>559511298.35000002</v>
      </c>
      <c r="S40" s="330">
        <f>SUM(S9:S38)</f>
        <v>732372280.91999996</v>
      </c>
      <c r="T40" s="329">
        <f>SUM(T9:T39)</f>
        <v>2026244888.6799998</v>
      </c>
      <c r="U40" s="331">
        <f>SUM(U10:U38)</f>
        <v>2710927335.6499996</v>
      </c>
      <c r="V40" s="332"/>
      <c r="W40" s="332"/>
      <c r="X40" s="333"/>
    </row>
    <row r="41" spans="1:24" ht="21.75" thickTop="1" x14ac:dyDescent="0.35">
      <c r="T41" s="397"/>
    </row>
    <row r="42" spans="1:24" x14ac:dyDescent="0.35">
      <c r="H42" s="65"/>
      <c r="I42" s="335"/>
      <c r="N42" s="397"/>
      <c r="R42" s="65"/>
      <c r="S42" s="335"/>
    </row>
    <row r="43" spans="1:24" x14ac:dyDescent="0.35">
      <c r="I43" s="335"/>
      <c r="S43" s="335"/>
    </row>
  </sheetData>
  <mergeCells count="30">
    <mergeCell ref="V5:V7"/>
    <mergeCell ref="Q5:Q7"/>
    <mergeCell ref="R5:R7"/>
    <mergeCell ref="S5:S7"/>
    <mergeCell ref="T5:T7"/>
    <mergeCell ref="P5:P7"/>
    <mergeCell ref="A4:A7"/>
    <mergeCell ref="B4:D4"/>
    <mergeCell ref="E4:J4"/>
    <mergeCell ref="F5:F7"/>
    <mergeCell ref="G5:G7"/>
    <mergeCell ref="H5:H7"/>
    <mergeCell ref="I5:I7"/>
    <mergeCell ref="J5:J7"/>
    <mergeCell ref="A1:X1"/>
    <mergeCell ref="K4:K7"/>
    <mergeCell ref="V4:X4"/>
    <mergeCell ref="B5:B7"/>
    <mergeCell ref="C5:C7"/>
    <mergeCell ref="D5:D7"/>
    <mergeCell ref="E5:E7"/>
    <mergeCell ref="W5:W7"/>
    <mergeCell ref="X5:X7"/>
    <mergeCell ref="L4:N4"/>
    <mergeCell ref="O4:T4"/>
    <mergeCell ref="U4:U7"/>
    <mergeCell ref="L5:L7"/>
    <mergeCell ref="M5:M7"/>
    <mergeCell ref="N5:N7"/>
    <mergeCell ref="O5:O7"/>
  </mergeCells>
  <pageMargins left="0" right="0" top="0.35433070866141736" bottom="0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C19"/>
  <sheetViews>
    <sheetView view="pageBreakPreview" zoomScaleNormal="100" zoomScaleSheetLayoutView="100" workbookViewId="0">
      <selection activeCell="C16" sqref="C16"/>
    </sheetView>
  </sheetViews>
  <sheetFormatPr defaultRowHeight="18.75" x14ac:dyDescent="0.3"/>
  <cols>
    <col min="1" max="1" width="23.28515625" style="414" customWidth="1"/>
    <col min="2" max="2" width="7" style="415" customWidth="1"/>
    <col min="3" max="3" width="145.5703125" style="414" customWidth="1"/>
  </cols>
  <sheetData>
    <row r="1" spans="1:3" ht="21" x14ac:dyDescent="0.35">
      <c r="A1" s="21" t="s">
        <v>681</v>
      </c>
      <c r="B1" s="402"/>
      <c r="C1" s="403"/>
    </row>
    <row r="2" spans="1:3" ht="21" x14ac:dyDescent="0.35">
      <c r="A2" s="84" t="s">
        <v>621</v>
      </c>
      <c r="B2" s="402"/>
      <c r="C2" s="403"/>
    </row>
    <row r="3" spans="1:3" ht="21" x14ac:dyDescent="0.35">
      <c r="A3" s="542" t="s">
        <v>40</v>
      </c>
      <c r="B3" s="607" t="s">
        <v>579</v>
      </c>
      <c r="C3" s="608"/>
    </row>
    <row r="4" spans="1:3" ht="56.25" x14ac:dyDescent="0.2">
      <c r="A4" s="416" t="s">
        <v>41</v>
      </c>
      <c r="B4" s="418" t="s">
        <v>579</v>
      </c>
      <c r="C4" s="408" t="s">
        <v>606</v>
      </c>
    </row>
    <row r="5" spans="1:3" ht="37.5" x14ac:dyDescent="0.2">
      <c r="A5" s="416" t="s">
        <v>42</v>
      </c>
      <c r="B5" s="419" t="s">
        <v>579</v>
      </c>
      <c r="C5" s="410" t="s">
        <v>607</v>
      </c>
    </row>
    <row r="6" spans="1:3" ht="56.25" x14ac:dyDescent="0.2">
      <c r="A6" s="417" t="s">
        <v>43</v>
      </c>
      <c r="B6" s="419" t="s">
        <v>579</v>
      </c>
      <c r="C6" s="408" t="s">
        <v>608</v>
      </c>
    </row>
    <row r="7" spans="1:3" ht="47.25" customHeight="1" x14ac:dyDescent="0.2">
      <c r="A7" s="417" t="s">
        <v>44</v>
      </c>
      <c r="B7" s="419" t="s">
        <v>579</v>
      </c>
      <c r="C7" s="408" t="s">
        <v>609</v>
      </c>
    </row>
    <row r="8" spans="1:3" ht="42" customHeight="1" x14ac:dyDescent="0.2">
      <c r="A8" s="416" t="s">
        <v>45</v>
      </c>
      <c r="B8" s="419" t="s">
        <v>579</v>
      </c>
      <c r="C8" s="408" t="s">
        <v>610</v>
      </c>
    </row>
    <row r="9" spans="1:3" ht="45.75" customHeight="1" x14ac:dyDescent="0.2">
      <c r="A9" s="417" t="s">
        <v>46</v>
      </c>
      <c r="B9" s="419" t="s">
        <v>579</v>
      </c>
      <c r="C9" s="408" t="s">
        <v>611</v>
      </c>
    </row>
    <row r="10" spans="1:3" ht="48.75" customHeight="1" x14ac:dyDescent="0.2">
      <c r="A10" s="416" t="s">
        <v>47</v>
      </c>
      <c r="B10" s="419" t="s">
        <v>579</v>
      </c>
      <c r="C10" s="408" t="s">
        <v>612</v>
      </c>
    </row>
    <row r="11" spans="1:3" ht="48" customHeight="1" x14ac:dyDescent="0.2">
      <c r="A11" s="417" t="s">
        <v>48</v>
      </c>
      <c r="B11" s="419" t="s">
        <v>579</v>
      </c>
      <c r="C11" s="408" t="s">
        <v>613</v>
      </c>
    </row>
    <row r="12" spans="1:3" ht="45.75" customHeight="1" x14ac:dyDescent="0.2">
      <c r="A12" s="416" t="s">
        <v>49</v>
      </c>
      <c r="B12" s="419" t="s">
        <v>579</v>
      </c>
      <c r="C12" s="408" t="s">
        <v>614</v>
      </c>
    </row>
    <row r="13" spans="1:3" ht="57.75" customHeight="1" x14ac:dyDescent="0.2">
      <c r="A13" s="416" t="s">
        <v>55</v>
      </c>
      <c r="B13" s="419" t="s">
        <v>579</v>
      </c>
      <c r="C13" s="408" t="s">
        <v>615</v>
      </c>
    </row>
    <row r="14" spans="1:3" ht="21" x14ac:dyDescent="0.2">
      <c r="A14" s="544" t="s">
        <v>56</v>
      </c>
      <c r="B14" s="628" t="s">
        <v>579</v>
      </c>
      <c r="C14" s="629"/>
    </row>
    <row r="15" spans="1:3" ht="39.950000000000003" customHeight="1" x14ac:dyDescent="0.2">
      <c r="A15" s="319" t="s">
        <v>59</v>
      </c>
      <c r="B15" s="419" t="s">
        <v>579</v>
      </c>
      <c r="C15" s="408" t="s">
        <v>616</v>
      </c>
    </row>
    <row r="16" spans="1:3" ht="39.950000000000003" customHeight="1" x14ac:dyDescent="0.2">
      <c r="A16" s="326" t="s">
        <v>64</v>
      </c>
      <c r="B16" s="419" t="s">
        <v>579</v>
      </c>
      <c r="C16" s="408" t="s">
        <v>617</v>
      </c>
    </row>
    <row r="17" spans="1:3" ht="39.950000000000003" customHeight="1" x14ac:dyDescent="0.2">
      <c r="A17" s="326" t="s">
        <v>65</v>
      </c>
      <c r="B17" s="419" t="s">
        <v>579</v>
      </c>
      <c r="C17" s="408" t="s">
        <v>618</v>
      </c>
    </row>
    <row r="18" spans="1:3" ht="39.950000000000003" customHeight="1" x14ac:dyDescent="0.2">
      <c r="A18" s="326" t="s">
        <v>66</v>
      </c>
      <c r="B18" s="420" t="s">
        <v>579</v>
      </c>
      <c r="C18" s="408" t="s">
        <v>619</v>
      </c>
    </row>
    <row r="19" spans="1:3" ht="39.950000000000003" customHeight="1" x14ac:dyDescent="0.2">
      <c r="A19" s="326" t="s">
        <v>69</v>
      </c>
      <c r="B19" s="420" t="s">
        <v>579</v>
      </c>
      <c r="C19" s="428" t="s">
        <v>620</v>
      </c>
    </row>
  </sheetData>
  <mergeCells count="2">
    <mergeCell ref="B3:C3"/>
    <mergeCell ref="B14:C14"/>
  </mergeCells>
  <pageMargins left="0.11811023622047245" right="0" top="0.55118110236220474" bottom="0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8"/>
  <sheetViews>
    <sheetView view="pageBreakPreview" zoomScaleNormal="100" zoomScaleSheetLayoutView="100" workbookViewId="0">
      <selection activeCell="A16" sqref="A16"/>
    </sheetView>
  </sheetViews>
  <sheetFormatPr defaultRowHeight="18.75" x14ac:dyDescent="0.3"/>
  <cols>
    <col min="1" max="1" width="9.5703125" style="370" customWidth="1"/>
    <col min="2" max="2" width="23.7109375" style="370" customWidth="1"/>
    <col min="3" max="3" width="14.5703125" style="373" customWidth="1"/>
    <col min="4" max="4" width="14.85546875" style="373" customWidth="1"/>
    <col min="5" max="5" width="14.7109375" style="373" customWidth="1"/>
    <col min="6" max="7" width="14.7109375" style="372" customWidth="1"/>
    <col min="8" max="8" width="15.28515625" style="373" bestFit="1" customWidth="1"/>
    <col min="9" max="9" width="10.28515625" style="373" bestFit="1" customWidth="1"/>
    <col min="10" max="10" width="12.28515625" style="369" bestFit="1" customWidth="1"/>
    <col min="11" max="11" width="10.28515625" style="374" bestFit="1" customWidth="1"/>
    <col min="12" max="12" width="9" style="351" customWidth="1"/>
    <col min="13" max="13" width="14.5703125" style="351" bestFit="1" customWidth="1"/>
    <col min="14" max="21" width="9" style="351" customWidth="1"/>
    <col min="22" max="256" width="9.140625" style="351"/>
    <col min="257" max="257" width="9.5703125" style="351" customWidth="1"/>
    <col min="258" max="258" width="23.7109375" style="351" customWidth="1"/>
    <col min="259" max="259" width="14.5703125" style="351" customWidth="1"/>
    <col min="260" max="260" width="14.85546875" style="351" customWidth="1"/>
    <col min="261" max="263" width="14.7109375" style="351" customWidth="1"/>
    <col min="264" max="264" width="15.28515625" style="351" bestFit="1" customWidth="1"/>
    <col min="265" max="265" width="10.28515625" style="351" bestFit="1" customWidth="1"/>
    <col min="266" max="266" width="12.28515625" style="351" bestFit="1" customWidth="1"/>
    <col min="267" max="267" width="10.28515625" style="351" bestFit="1" customWidth="1"/>
    <col min="268" max="268" width="9" style="351" customWidth="1"/>
    <col min="269" max="269" width="14.5703125" style="351" bestFit="1" customWidth="1"/>
    <col min="270" max="277" width="9" style="351" customWidth="1"/>
    <col min="278" max="512" width="9.140625" style="351"/>
    <col min="513" max="513" width="9.5703125" style="351" customWidth="1"/>
    <col min="514" max="514" width="23.7109375" style="351" customWidth="1"/>
    <col min="515" max="515" width="14.5703125" style="351" customWidth="1"/>
    <col min="516" max="516" width="14.85546875" style="351" customWidth="1"/>
    <col min="517" max="519" width="14.7109375" style="351" customWidth="1"/>
    <col min="520" max="520" width="15.28515625" style="351" bestFit="1" customWidth="1"/>
    <col min="521" max="521" width="10.28515625" style="351" bestFit="1" customWidth="1"/>
    <col min="522" max="522" width="12.28515625" style="351" bestFit="1" customWidth="1"/>
    <col min="523" max="523" width="10.28515625" style="351" bestFit="1" customWidth="1"/>
    <col min="524" max="524" width="9" style="351" customWidth="1"/>
    <col min="525" max="525" width="14.5703125" style="351" bestFit="1" customWidth="1"/>
    <col min="526" max="533" width="9" style="351" customWidth="1"/>
    <col min="534" max="768" width="9.140625" style="351"/>
    <col min="769" max="769" width="9.5703125" style="351" customWidth="1"/>
    <col min="770" max="770" width="23.7109375" style="351" customWidth="1"/>
    <col min="771" max="771" width="14.5703125" style="351" customWidth="1"/>
    <col min="772" max="772" width="14.85546875" style="351" customWidth="1"/>
    <col min="773" max="775" width="14.7109375" style="351" customWidth="1"/>
    <col min="776" max="776" width="15.28515625" style="351" bestFit="1" customWidth="1"/>
    <col min="777" max="777" width="10.28515625" style="351" bestFit="1" customWidth="1"/>
    <col min="778" max="778" width="12.28515625" style="351" bestFit="1" customWidth="1"/>
    <col min="779" max="779" width="10.28515625" style="351" bestFit="1" customWidth="1"/>
    <col min="780" max="780" width="9" style="351" customWidth="1"/>
    <col min="781" max="781" width="14.5703125" style="351" bestFit="1" customWidth="1"/>
    <col min="782" max="789" width="9" style="351" customWidth="1"/>
    <col min="790" max="1024" width="9.140625" style="351"/>
    <col min="1025" max="1025" width="9.5703125" style="351" customWidth="1"/>
    <col min="1026" max="1026" width="23.7109375" style="351" customWidth="1"/>
    <col min="1027" max="1027" width="14.5703125" style="351" customWidth="1"/>
    <col min="1028" max="1028" width="14.85546875" style="351" customWidth="1"/>
    <col min="1029" max="1031" width="14.7109375" style="351" customWidth="1"/>
    <col min="1032" max="1032" width="15.28515625" style="351" bestFit="1" customWidth="1"/>
    <col min="1033" max="1033" width="10.28515625" style="351" bestFit="1" customWidth="1"/>
    <col min="1034" max="1034" width="12.28515625" style="351" bestFit="1" customWidth="1"/>
    <col min="1035" max="1035" width="10.28515625" style="351" bestFit="1" customWidth="1"/>
    <col min="1036" max="1036" width="9" style="351" customWidth="1"/>
    <col min="1037" max="1037" width="14.5703125" style="351" bestFit="1" customWidth="1"/>
    <col min="1038" max="1045" width="9" style="351" customWidth="1"/>
    <col min="1046" max="1280" width="9.140625" style="351"/>
    <col min="1281" max="1281" width="9.5703125" style="351" customWidth="1"/>
    <col min="1282" max="1282" width="23.7109375" style="351" customWidth="1"/>
    <col min="1283" max="1283" width="14.5703125" style="351" customWidth="1"/>
    <col min="1284" max="1284" width="14.85546875" style="351" customWidth="1"/>
    <col min="1285" max="1287" width="14.7109375" style="351" customWidth="1"/>
    <col min="1288" max="1288" width="15.28515625" style="351" bestFit="1" customWidth="1"/>
    <col min="1289" max="1289" width="10.28515625" style="351" bestFit="1" customWidth="1"/>
    <col min="1290" max="1290" width="12.28515625" style="351" bestFit="1" customWidth="1"/>
    <col min="1291" max="1291" width="10.28515625" style="351" bestFit="1" customWidth="1"/>
    <col min="1292" max="1292" width="9" style="351" customWidth="1"/>
    <col min="1293" max="1293" width="14.5703125" style="351" bestFit="1" customWidth="1"/>
    <col min="1294" max="1301" width="9" style="351" customWidth="1"/>
    <col min="1302" max="1536" width="9.140625" style="351"/>
    <col min="1537" max="1537" width="9.5703125" style="351" customWidth="1"/>
    <col min="1538" max="1538" width="23.7109375" style="351" customWidth="1"/>
    <col min="1539" max="1539" width="14.5703125" style="351" customWidth="1"/>
    <col min="1540" max="1540" width="14.85546875" style="351" customWidth="1"/>
    <col min="1541" max="1543" width="14.7109375" style="351" customWidth="1"/>
    <col min="1544" max="1544" width="15.28515625" style="351" bestFit="1" customWidth="1"/>
    <col min="1545" max="1545" width="10.28515625" style="351" bestFit="1" customWidth="1"/>
    <col min="1546" max="1546" width="12.28515625" style="351" bestFit="1" customWidth="1"/>
    <col min="1547" max="1547" width="10.28515625" style="351" bestFit="1" customWidth="1"/>
    <col min="1548" max="1548" width="9" style="351" customWidth="1"/>
    <col min="1549" max="1549" width="14.5703125" style="351" bestFit="1" customWidth="1"/>
    <col min="1550" max="1557" width="9" style="351" customWidth="1"/>
    <col min="1558" max="1792" width="9.140625" style="351"/>
    <col min="1793" max="1793" width="9.5703125" style="351" customWidth="1"/>
    <col min="1794" max="1794" width="23.7109375" style="351" customWidth="1"/>
    <col min="1795" max="1795" width="14.5703125" style="351" customWidth="1"/>
    <col min="1796" max="1796" width="14.85546875" style="351" customWidth="1"/>
    <col min="1797" max="1799" width="14.7109375" style="351" customWidth="1"/>
    <col min="1800" max="1800" width="15.28515625" style="351" bestFit="1" customWidth="1"/>
    <col min="1801" max="1801" width="10.28515625" style="351" bestFit="1" customWidth="1"/>
    <col min="1802" max="1802" width="12.28515625" style="351" bestFit="1" customWidth="1"/>
    <col min="1803" max="1803" width="10.28515625" style="351" bestFit="1" customWidth="1"/>
    <col min="1804" max="1804" width="9" style="351" customWidth="1"/>
    <col min="1805" max="1805" width="14.5703125" style="351" bestFit="1" customWidth="1"/>
    <col min="1806" max="1813" width="9" style="351" customWidth="1"/>
    <col min="1814" max="2048" width="9.140625" style="351"/>
    <col min="2049" max="2049" width="9.5703125" style="351" customWidth="1"/>
    <col min="2050" max="2050" width="23.7109375" style="351" customWidth="1"/>
    <col min="2051" max="2051" width="14.5703125" style="351" customWidth="1"/>
    <col min="2052" max="2052" width="14.85546875" style="351" customWidth="1"/>
    <col min="2053" max="2055" width="14.7109375" style="351" customWidth="1"/>
    <col min="2056" max="2056" width="15.28515625" style="351" bestFit="1" customWidth="1"/>
    <col min="2057" max="2057" width="10.28515625" style="351" bestFit="1" customWidth="1"/>
    <col min="2058" max="2058" width="12.28515625" style="351" bestFit="1" customWidth="1"/>
    <col min="2059" max="2059" width="10.28515625" style="351" bestFit="1" customWidth="1"/>
    <col min="2060" max="2060" width="9" style="351" customWidth="1"/>
    <col min="2061" max="2061" width="14.5703125" style="351" bestFit="1" customWidth="1"/>
    <col min="2062" max="2069" width="9" style="351" customWidth="1"/>
    <col min="2070" max="2304" width="9.140625" style="351"/>
    <col min="2305" max="2305" width="9.5703125" style="351" customWidth="1"/>
    <col min="2306" max="2306" width="23.7109375" style="351" customWidth="1"/>
    <col min="2307" max="2307" width="14.5703125" style="351" customWidth="1"/>
    <col min="2308" max="2308" width="14.85546875" style="351" customWidth="1"/>
    <col min="2309" max="2311" width="14.7109375" style="351" customWidth="1"/>
    <col min="2312" max="2312" width="15.28515625" style="351" bestFit="1" customWidth="1"/>
    <col min="2313" max="2313" width="10.28515625" style="351" bestFit="1" customWidth="1"/>
    <col min="2314" max="2314" width="12.28515625" style="351" bestFit="1" customWidth="1"/>
    <col min="2315" max="2315" width="10.28515625" style="351" bestFit="1" customWidth="1"/>
    <col min="2316" max="2316" width="9" style="351" customWidth="1"/>
    <col min="2317" max="2317" width="14.5703125" style="351" bestFit="1" customWidth="1"/>
    <col min="2318" max="2325" width="9" style="351" customWidth="1"/>
    <col min="2326" max="2560" width="9.140625" style="351"/>
    <col min="2561" max="2561" width="9.5703125" style="351" customWidth="1"/>
    <col min="2562" max="2562" width="23.7109375" style="351" customWidth="1"/>
    <col min="2563" max="2563" width="14.5703125" style="351" customWidth="1"/>
    <col min="2564" max="2564" width="14.85546875" style="351" customWidth="1"/>
    <col min="2565" max="2567" width="14.7109375" style="351" customWidth="1"/>
    <col min="2568" max="2568" width="15.28515625" style="351" bestFit="1" customWidth="1"/>
    <col min="2569" max="2569" width="10.28515625" style="351" bestFit="1" customWidth="1"/>
    <col min="2570" max="2570" width="12.28515625" style="351" bestFit="1" customWidth="1"/>
    <col min="2571" max="2571" width="10.28515625" style="351" bestFit="1" customWidth="1"/>
    <col min="2572" max="2572" width="9" style="351" customWidth="1"/>
    <col min="2573" max="2573" width="14.5703125" style="351" bestFit="1" customWidth="1"/>
    <col min="2574" max="2581" width="9" style="351" customWidth="1"/>
    <col min="2582" max="2816" width="9.140625" style="351"/>
    <col min="2817" max="2817" width="9.5703125" style="351" customWidth="1"/>
    <col min="2818" max="2818" width="23.7109375" style="351" customWidth="1"/>
    <col min="2819" max="2819" width="14.5703125" style="351" customWidth="1"/>
    <col min="2820" max="2820" width="14.85546875" style="351" customWidth="1"/>
    <col min="2821" max="2823" width="14.7109375" style="351" customWidth="1"/>
    <col min="2824" max="2824" width="15.28515625" style="351" bestFit="1" customWidth="1"/>
    <col min="2825" max="2825" width="10.28515625" style="351" bestFit="1" customWidth="1"/>
    <col min="2826" max="2826" width="12.28515625" style="351" bestFit="1" customWidth="1"/>
    <col min="2827" max="2827" width="10.28515625" style="351" bestFit="1" customWidth="1"/>
    <col min="2828" max="2828" width="9" style="351" customWidth="1"/>
    <col min="2829" max="2829" width="14.5703125" style="351" bestFit="1" customWidth="1"/>
    <col min="2830" max="2837" width="9" style="351" customWidth="1"/>
    <col min="2838" max="3072" width="9.140625" style="351"/>
    <col min="3073" max="3073" width="9.5703125" style="351" customWidth="1"/>
    <col min="3074" max="3074" width="23.7109375" style="351" customWidth="1"/>
    <col min="3075" max="3075" width="14.5703125" style="351" customWidth="1"/>
    <col min="3076" max="3076" width="14.85546875" style="351" customWidth="1"/>
    <col min="3077" max="3079" width="14.7109375" style="351" customWidth="1"/>
    <col min="3080" max="3080" width="15.28515625" style="351" bestFit="1" customWidth="1"/>
    <col min="3081" max="3081" width="10.28515625" style="351" bestFit="1" customWidth="1"/>
    <col min="3082" max="3082" width="12.28515625" style="351" bestFit="1" customWidth="1"/>
    <col min="3083" max="3083" width="10.28515625" style="351" bestFit="1" customWidth="1"/>
    <col min="3084" max="3084" width="9" style="351" customWidth="1"/>
    <col min="3085" max="3085" width="14.5703125" style="351" bestFit="1" customWidth="1"/>
    <col min="3086" max="3093" width="9" style="351" customWidth="1"/>
    <col min="3094" max="3328" width="9.140625" style="351"/>
    <col min="3329" max="3329" width="9.5703125" style="351" customWidth="1"/>
    <col min="3330" max="3330" width="23.7109375" style="351" customWidth="1"/>
    <col min="3331" max="3331" width="14.5703125" style="351" customWidth="1"/>
    <col min="3332" max="3332" width="14.85546875" style="351" customWidth="1"/>
    <col min="3333" max="3335" width="14.7109375" style="351" customWidth="1"/>
    <col min="3336" max="3336" width="15.28515625" style="351" bestFit="1" customWidth="1"/>
    <col min="3337" max="3337" width="10.28515625" style="351" bestFit="1" customWidth="1"/>
    <col min="3338" max="3338" width="12.28515625" style="351" bestFit="1" customWidth="1"/>
    <col min="3339" max="3339" width="10.28515625" style="351" bestFit="1" customWidth="1"/>
    <col min="3340" max="3340" width="9" style="351" customWidth="1"/>
    <col min="3341" max="3341" width="14.5703125" style="351" bestFit="1" customWidth="1"/>
    <col min="3342" max="3349" width="9" style="351" customWidth="1"/>
    <col min="3350" max="3584" width="9.140625" style="351"/>
    <col min="3585" max="3585" width="9.5703125" style="351" customWidth="1"/>
    <col min="3586" max="3586" width="23.7109375" style="351" customWidth="1"/>
    <col min="3587" max="3587" width="14.5703125" style="351" customWidth="1"/>
    <col min="3588" max="3588" width="14.85546875" style="351" customWidth="1"/>
    <col min="3589" max="3591" width="14.7109375" style="351" customWidth="1"/>
    <col min="3592" max="3592" width="15.28515625" style="351" bestFit="1" customWidth="1"/>
    <col min="3593" max="3593" width="10.28515625" style="351" bestFit="1" customWidth="1"/>
    <col min="3594" max="3594" width="12.28515625" style="351" bestFit="1" customWidth="1"/>
    <col min="3595" max="3595" width="10.28515625" style="351" bestFit="1" customWidth="1"/>
    <col min="3596" max="3596" width="9" style="351" customWidth="1"/>
    <col min="3597" max="3597" width="14.5703125" style="351" bestFit="1" customWidth="1"/>
    <col min="3598" max="3605" width="9" style="351" customWidth="1"/>
    <col min="3606" max="3840" width="9.140625" style="351"/>
    <col min="3841" max="3841" width="9.5703125" style="351" customWidth="1"/>
    <col min="3842" max="3842" width="23.7109375" style="351" customWidth="1"/>
    <col min="3843" max="3843" width="14.5703125" style="351" customWidth="1"/>
    <col min="3844" max="3844" width="14.85546875" style="351" customWidth="1"/>
    <col min="3845" max="3847" width="14.7109375" style="351" customWidth="1"/>
    <col min="3848" max="3848" width="15.28515625" style="351" bestFit="1" customWidth="1"/>
    <col min="3849" max="3849" width="10.28515625" style="351" bestFit="1" customWidth="1"/>
    <col min="3850" max="3850" width="12.28515625" style="351" bestFit="1" customWidth="1"/>
    <col min="3851" max="3851" width="10.28515625" style="351" bestFit="1" customWidth="1"/>
    <col min="3852" max="3852" width="9" style="351" customWidth="1"/>
    <col min="3853" max="3853" width="14.5703125" style="351" bestFit="1" customWidth="1"/>
    <col min="3854" max="3861" width="9" style="351" customWidth="1"/>
    <col min="3862" max="4096" width="9.140625" style="351"/>
    <col min="4097" max="4097" width="9.5703125" style="351" customWidth="1"/>
    <col min="4098" max="4098" width="23.7109375" style="351" customWidth="1"/>
    <col min="4099" max="4099" width="14.5703125" style="351" customWidth="1"/>
    <col min="4100" max="4100" width="14.85546875" style="351" customWidth="1"/>
    <col min="4101" max="4103" width="14.7109375" style="351" customWidth="1"/>
    <col min="4104" max="4104" width="15.28515625" style="351" bestFit="1" customWidth="1"/>
    <col min="4105" max="4105" width="10.28515625" style="351" bestFit="1" customWidth="1"/>
    <col min="4106" max="4106" width="12.28515625" style="351" bestFit="1" customWidth="1"/>
    <col min="4107" max="4107" width="10.28515625" style="351" bestFit="1" customWidth="1"/>
    <col min="4108" max="4108" width="9" style="351" customWidth="1"/>
    <col min="4109" max="4109" width="14.5703125" style="351" bestFit="1" customWidth="1"/>
    <col min="4110" max="4117" width="9" style="351" customWidth="1"/>
    <col min="4118" max="4352" width="9.140625" style="351"/>
    <col min="4353" max="4353" width="9.5703125" style="351" customWidth="1"/>
    <col min="4354" max="4354" width="23.7109375" style="351" customWidth="1"/>
    <col min="4355" max="4355" width="14.5703125" style="351" customWidth="1"/>
    <col min="4356" max="4356" width="14.85546875" style="351" customWidth="1"/>
    <col min="4357" max="4359" width="14.7109375" style="351" customWidth="1"/>
    <col min="4360" max="4360" width="15.28515625" style="351" bestFit="1" customWidth="1"/>
    <col min="4361" max="4361" width="10.28515625" style="351" bestFit="1" customWidth="1"/>
    <col min="4362" max="4362" width="12.28515625" style="351" bestFit="1" customWidth="1"/>
    <col min="4363" max="4363" width="10.28515625" style="351" bestFit="1" customWidth="1"/>
    <col min="4364" max="4364" width="9" style="351" customWidth="1"/>
    <col min="4365" max="4365" width="14.5703125" style="351" bestFit="1" customWidth="1"/>
    <col min="4366" max="4373" width="9" style="351" customWidth="1"/>
    <col min="4374" max="4608" width="9.140625" style="351"/>
    <col min="4609" max="4609" width="9.5703125" style="351" customWidth="1"/>
    <col min="4610" max="4610" width="23.7109375" style="351" customWidth="1"/>
    <col min="4611" max="4611" width="14.5703125" style="351" customWidth="1"/>
    <col min="4612" max="4612" width="14.85546875" style="351" customWidth="1"/>
    <col min="4613" max="4615" width="14.7109375" style="351" customWidth="1"/>
    <col min="4616" max="4616" width="15.28515625" style="351" bestFit="1" customWidth="1"/>
    <col min="4617" max="4617" width="10.28515625" style="351" bestFit="1" customWidth="1"/>
    <col min="4618" max="4618" width="12.28515625" style="351" bestFit="1" customWidth="1"/>
    <col min="4619" max="4619" width="10.28515625" style="351" bestFit="1" customWidth="1"/>
    <col min="4620" max="4620" width="9" style="351" customWidth="1"/>
    <col min="4621" max="4621" width="14.5703125" style="351" bestFit="1" customWidth="1"/>
    <col min="4622" max="4629" width="9" style="351" customWidth="1"/>
    <col min="4630" max="4864" width="9.140625" style="351"/>
    <col min="4865" max="4865" width="9.5703125" style="351" customWidth="1"/>
    <col min="4866" max="4866" width="23.7109375" style="351" customWidth="1"/>
    <col min="4867" max="4867" width="14.5703125" style="351" customWidth="1"/>
    <col min="4868" max="4868" width="14.85546875" style="351" customWidth="1"/>
    <col min="4869" max="4871" width="14.7109375" style="351" customWidth="1"/>
    <col min="4872" max="4872" width="15.28515625" style="351" bestFit="1" customWidth="1"/>
    <col min="4873" max="4873" width="10.28515625" style="351" bestFit="1" customWidth="1"/>
    <col min="4874" max="4874" width="12.28515625" style="351" bestFit="1" customWidth="1"/>
    <col min="4875" max="4875" width="10.28515625" style="351" bestFit="1" customWidth="1"/>
    <col min="4876" max="4876" width="9" style="351" customWidth="1"/>
    <col min="4877" max="4877" width="14.5703125" style="351" bestFit="1" customWidth="1"/>
    <col min="4878" max="4885" width="9" style="351" customWidth="1"/>
    <col min="4886" max="5120" width="9.140625" style="351"/>
    <col min="5121" max="5121" width="9.5703125" style="351" customWidth="1"/>
    <col min="5122" max="5122" width="23.7109375" style="351" customWidth="1"/>
    <col min="5123" max="5123" width="14.5703125" style="351" customWidth="1"/>
    <col min="5124" max="5124" width="14.85546875" style="351" customWidth="1"/>
    <col min="5125" max="5127" width="14.7109375" style="351" customWidth="1"/>
    <col min="5128" max="5128" width="15.28515625" style="351" bestFit="1" customWidth="1"/>
    <col min="5129" max="5129" width="10.28515625" style="351" bestFit="1" customWidth="1"/>
    <col min="5130" max="5130" width="12.28515625" style="351" bestFit="1" customWidth="1"/>
    <col min="5131" max="5131" width="10.28515625" style="351" bestFit="1" customWidth="1"/>
    <col min="5132" max="5132" width="9" style="351" customWidth="1"/>
    <col min="5133" max="5133" width="14.5703125" style="351" bestFit="1" customWidth="1"/>
    <col min="5134" max="5141" width="9" style="351" customWidth="1"/>
    <col min="5142" max="5376" width="9.140625" style="351"/>
    <col min="5377" max="5377" width="9.5703125" style="351" customWidth="1"/>
    <col min="5378" max="5378" width="23.7109375" style="351" customWidth="1"/>
    <col min="5379" max="5379" width="14.5703125" style="351" customWidth="1"/>
    <col min="5380" max="5380" width="14.85546875" style="351" customWidth="1"/>
    <col min="5381" max="5383" width="14.7109375" style="351" customWidth="1"/>
    <col min="5384" max="5384" width="15.28515625" style="351" bestFit="1" customWidth="1"/>
    <col min="5385" max="5385" width="10.28515625" style="351" bestFit="1" customWidth="1"/>
    <col min="5386" max="5386" width="12.28515625" style="351" bestFit="1" customWidth="1"/>
    <col min="5387" max="5387" width="10.28515625" style="351" bestFit="1" customWidth="1"/>
    <col min="5388" max="5388" width="9" style="351" customWidth="1"/>
    <col min="5389" max="5389" width="14.5703125" style="351" bestFit="1" customWidth="1"/>
    <col min="5390" max="5397" width="9" style="351" customWidth="1"/>
    <col min="5398" max="5632" width="9.140625" style="351"/>
    <col min="5633" max="5633" width="9.5703125" style="351" customWidth="1"/>
    <col min="5634" max="5634" width="23.7109375" style="351" customWidth="1"/>
    <col min="5635" max="5635" width="14.5703125" style="351" customWidth="1"/>
    <col min="5636" max="5636" width="14.85546875" style="351" customWidth="1"/>
    <col min="5637" max="5639" width="14.7109375" style="351" customWidth="1"/>
    <col min="5640" max="5640" width="15.28515625" style="351" bestFit="1" customWidth="1"/>
    <col min="5641" max="5641" width="10.28515625" style="351" bestFit="1" customWidth="1"/>
    <col min="5642" max="5642" width="12.28515625" style="351" bestFit="1" customWidth="1"/>
    <col min="5643" max="5643" width="10.28515625" style="351" bestFit="1" customWidth="1"/>
    <col min="5644" max="5644" width="9" style="351" customWidth="1"/>
    <col min="5645" max="5645" width="14.5703125" style="351" bestFit="1" customWidth="1"/>
    <col min="5646" max="5653" width="9" style="351" customWidth="1"/>
    <col min="5654" max="5888" width="9.140625" style="351"/>
    <col min="5889" max="5889" width="9.5703125" style="351" customWidth="1"/>
    <col min="5890" max="5890" width="23.7109375" style="351" customWidth="1"/>
    <col min="5891" max="5891" width="14.5703125" style="351" customWidth="1"/>
    <col min="5892" max="5892" width="14.85546875" style="351" customWidth="1"/>
    <col min="5893" max="5895" width="14.7109375" style="351" customWidth="1"/>
    <col min="5896" max="5896" width="15.28515625" style="351" bestFit="1" customWidth="1"/>
    <col min="5897" max="5897" width="10.28515625" style="351" bestFit="1" customWidth="1"/>
    <col min="5898" max="5898" width="12.28515625" style="351" bestFit="1" customWidth="1"/>
    <col min="5899" max="5899" width="10.28515625" style="351" bestFit="1" customWidth="1"/>
    <col min="5900" max="5900" width="9" style="351" customWidth="1"/>
    <col min="5901" max="5901" width="14.5703125" style="351" bestFit="1" customWidth="1"/>
    <col min="5902" max="5909" width="9" style="351" customWidth="1"/>
    <col min="5910" max="6144" width="9.140625" style="351"/>
    <col min="6145" max="6145" width="9.5703125" style="351" customWidth="1"/>
    <col min="6146" max="6146" width="23.7109375" style="351" customWidth="1"/>
    <col min="6147" max="6147" width="14.5703125" style="351" customWidth="1"/>
    <col min="6148" max="6148" width="14.85546875" style="351" customWidth="1"/>
    <col min="6149" max="6151" width="14.7109375" style="351" customWidth="1"/>
    <col min="6152" max="6152" width="15.28515625" style="351" bestFit="1" customWidth="1"/>
    <col min="6153" max="6153" width="10.28515625" style="351" bestFit="1" customWidth="1"/>
    <col min="6154" max="6154" width="12.28515625" style="351" bestFit="1" customWidth="1"/>
    <col min="6155" max="6155" width="10.28515625" style="351" bestFit="1" customWidth="1"/>
    <col min="6156" max="6156" width="9" style="351" customWidth="1"/>
    <col min="6157" max="6157" width="14.5703125" style="351" bestFit="1" customWidth="1"/>
    <col min="6158" max="6165" width="9" style="351" customWidth="1"/>
    <col min="6166" max="6400" width="9.140625" style="351"/>
    <col min="6401" max="6401" width="9.5703125" style="351" customWidth="1"/>
    <col min="6402" max="6402" width="23.7109375" style="351" customWidth="1"/>
    <col min="6403" max="6403" width="14.5703125" style="351" customWidth="1"/>
    <col min="6404" max="6404" width="14.85546875" style="351" customWidth="1"/>
    <col min="6405" max="6407" width="14.7109375" style="351" customWidth="1"/>
    <col min="6408" max="6408" width="15.28515625" style="351" bestFit="1" customWidth="1"/>
    <col min="6409" max="6409" width="10.28515625" style="351" bestFit="1" customWidth="1"/>
    <col min="6410" max="6410" width="12.28515625" style="351" bestFit="1" customWidth="1"/>
    <col min="6411" max="6411" width="10.28515625" style="351" bestFit="1" customWidth="1"/>
    <col min="6412" max="6412" width="9" style="351" customWidth="1"/>
    <col min="6413" max="6413" width="14.5703125" style="351" bestFit="1" customWidth="1"/>
    <col min="6414" max="6421" width="9" style="351" customWidth="1"/>
    <col min="6422" max="6656" width="9.140625" style="351"/>
    <col min="6657" max="6657" width="9.5703125" style="351" customWidth="1"/>
    <col min="6658" max="6658" width="23.7109375" style="351" customWidth="1"/>
    <col min="6659" max="6659" width="14.5703125" style="351" customWidth="1"/>
    <col min="6660" max="6660" width="14.85546875" style="351" customWidth="1"/>
    <col min="6661" max="6663" width="14.7109375" style="351" customWidth="1"/>
    <col min="6664" max="6664" width="15.28515625" style="351" bestFit="1" customWidth="1"/>
    <col min="6665" max="6665" width="10.28515625" style="351" bestFit="1" customWidth="1"/>
    <col min="6666" max="6666" width="12.28515625" style="351" bestFit="1" customWidth="1"/>
    <col min="6667" max="6667" width="10.28515625" style="351" bestFit="1" customWidth="1"/>
    <col min="6668" max="6668" width="9" style="351" customWidth="1"/>
    <col min="6669" max="6669" width="14.5703125" style="351" bestFit="1" customWidth="1"/>
    <col min="6670" max="6677" width="9" style="351" customWidth="1"/>
    <col min="6678" max="6912" width="9.140625" style="351"/>
    <col min="6913" max="6913" width="9.5703125" style="351" customWidth="1"/>
    <col min="6914" max="6914" width="23.7109375" style="351" customWidth="1"/>
    <col min="6915" max="6915" width="14.5703125" style="351" customWidth="1"/>
    <col min="6916" max="6916" width="14.85546875" style="351" customWidth="1"/>
    <col min="6917" max="6919" width="14.7109375" style="351" customWidth="1"/>
    <col min="6920" max="6920" width="15.28515625" style="351" bestFit="1" customWidth="1"/>
    <col min="6921" max="6921" width="10.28515625" style="351" bestFit="1" customWidth="1"/>
    <col min="6922" max="6922" width="12.28515625" style="351" bestFit="1" customWidth="1"/>
    <col min="6923" max="6923" width="10.28515625" style="351" bestFit="1" customWidth="1"/>
    <col min="6924" max="6924" width="9" style="351" customWidth="1"/>
    <col min="6925" max="6925" width="14.5703125" style="351" bestFit="1" customWidth="1"/>
    <col min="6926" max="6933" width="9" style="351" customWidth="1"/>
    <col min="6934" max="7168" width="9.140625" style="351"/>
    <col min="7169" max="7169" width="9.5703125" style="351" customWidth="1"/>
    <col min="7170" max="7170" width="23.7109375" style="351" customWidth="1"/>
    <col min="7171" max="7171" width="14.5703125" style="351" customWidth="1"/>
    <col min="7172" max="7172" width="14.85546875" style="351" customWidth="1"/>
    <col min="7173" max="7175" width="14.7109375" style="351" customWidth="1"/>
    <col min="7176" max="7176" width="15.28515625" style="351" bestFit="1" customWidth="1"/>
    <col min="7177" max="7177" width="10.28515625" style="351" bestFit="1" customWidth="1"/>
    <col min="7178" max="7178" width="12.28515625" style="351" bestFit="1" customWidth="1"/>
    <col min="7179" max="7179" width="10.28515625" style="351" bestFit="1" customWidth="1"/>
    <col min="7180" max="7180" width="9" style="351" customWidth="1"/>
    <col min="7181" max="7181" width="14.5703125" style="351" bestFit="1" customWidth="1"/>
    <col min="7182" max="7189" width="9" style="351" customWidth="1"/>
    <col min="7190" max="7424" width="9.140625" style="351"/>
    <col min="7425" max="7425" width="9.5703125" style="351" customWidth="1"/>
    <col min="7426" max="7426" width="23.7109375" style="351" customWidth="1"/>
    <col min="7427" max="7427" width="14.5703125" style="351" customWidth="1"/>
    <col min="7428" max="7428" width="14.85546875" style="351" customWidth="1"/>
    <col min="7429" max="7431" width="14.7109375" style="351" customWidth="1"/>
    <col min="7432" max="7432" width="15.28515625" style="351" bestFit="1" customWidth="1"/>
    <col min="7433" max="7433" width="10.28515625" style="351" bestFit="1" customWidth="1"/>
    <col min="7434" max="7434" width="12.28515625" style="351" bestFit="1" customWidth="1"/>
    <col min="7435" max="7435" width="10.28515625" style="351" bestFit="1" customWidth="1"/>
    <col min="7436" max="7436" width="9" style="351" customWidth="1"/>
    <col min="7437" max="7437" width="14.5703125" style="351" bestFit="1" customWidth="1"/>
    <col min="7438" max="7445" width="9" style="351" customWidth="1"/>
    <col min="7446" max="7680" width="9.140625" style="351"/>
    <col min="7681" max="7681" width="9.5703125" style="351" customWidth="1"/>
    <col min="7682" max="7682" width="23.7109375" style="351" customWidth="1"/>
    <col min="7683" max="7683" width="14.5703125" style="351" customWidth="1"/>
    <col min="7684" max="7684" width="14.85546875" style="351" customWidth="1"/>
    <col min="7685" max="7687" width="14.7109375" style="351" customWidth="1"/>
    <col min="7688" max="7688" width="15.28515625" style="351" bestFit="1" customWidth="1"/>
    <col min="7689" max="7689" width="10.28515625" style="351" bestFit="1" customWidth="1"/>
    <col min="7690" max="7690" width="12.28515625" style="351" bestFit="1" customWidth="1"/>
    <col min="7691" max="7691" width="10.28515625" style="351" bestFit="1" customWidth="1"/>
    <col min="7692" max="7692" width="9" style="351" customWidth="1"/>
    <col min="7693" max="7693" width="14.5703125" style="351" bestFit="1" customWidth="1"/>
    <col min="7694" max="7701" width="9" style="351" customWidth="1"/>
    <col min="7702" max="7936" width="9.140625" style="351"/>
    <col min="7937" max="7937" width="9.5703125" style="351" customWidth="1"/>
    <col min="7938" max="7938" width="23.7109375" style="351" customWidth="1"/>
    <col min="7939" max="7939" width="14.5703125" style="351" customWidth="1"/>
    <col min="7940" max="7940" width="14.85546875" style="351" customWidth="1"/>
    <col min="7941" max="7943" width="14.7109375" style="351" customWidth="1"/>
    <col min="7944" max="7944" width="15.28515625" style="351" bestFit="1" customWidth="1"/>
    <col min="7945" max="7945" width="10.28515625" style="351" bestFit="1" customWidth="1"/>
    <col min="7946" max="7946" width="12.28515625" style="351" bestFit="1" customWidth="1"/>
    <col min="7947" max="7947" width="10.28515625" style="351" bestFit="1" customWidth="1"/>
    <col min="7948" max="7948" width="9" style="351" customWidth="1"/>
    <col min="7949" max="7949" width="14.5703125" style="351" bestFit="1" customWidth="1"/>
    <col min="7950" max="7957" width="9" style="351" customWidth="1"/>
    <col min="7958" max="8192" width="9.140625" style="351"/>
    <col min="8193" max="8193" width="9.5703125" style="351" customWidth="1"/>
    <col min="8194" max="8194" width="23.7109375" style="351" customWidth="1"/>
    <col min="8195" max="8195" width="14.5703125" style="351" customWidth="1"/>
    <col min="8196" max="8196" width="14.85546875" style="351" customWidth="1"/>
    <col min="8197" max="8199" width="14.7109375" style="351" customWidth="1"/>
    <col min="8200" max="8200" width="15.28515625" style="351" bestFit="1" customWidth="1"/>
    <col min="8201" max="8201" width="10.28515625" style="351" bestFit="1" customWidth="1"/>
    <col min="8202" max="8202" width="12.28515625" style="351" bestFit="1" customWidth="1"/>
    <col min="8203" max="8203" width="10.28515625" style="351" bestFit="1" customWidth="1"/>
    <col min="8204" max="8204" width="9" style="351" customWidth="1"/>
    <col min="8205" max="8205" width="14.5703125" style="351" bestFit="1" customWidth="1"/>
    <col min="8206" max="8213" width="9" style="351" customWidth="1"/>
    <col min="8214" max="8448" width="9.140625" style="351"/>
    <col min="8449" max="8449" width="9.5703125" style="351" customWidth="1"/>
    <col min="8450" max="8450" width="23.7109375" style="351" customWidth="1"/>
    <col min="8451" max="8451" width="14.5703125" style="351" customWidth="1"/>
    <col min="8452" max="8452" width="14.85546875" style="351" customWidth="1"/>
    <col min="8453" max="8455" width="14.7109375" style="351" customWidth="1"/>
    <col min="8456" max="8456" width="15.28515625" style="351" bestFit="1" customWidth="1"/>
    <col min="8457" max="8457" width="10.28515625" style="351" bestFit="1" customWidth="1"/>
    <col min="8458" max="8458" width="12.28515625" style="351" bestFit="1" customWidth="1"/>
    <col min="8459" max="8459" width="10.28515625" style="351" bestFit="1" customWidth="1"/>
    <col min="8460" max="8460" width="9" style="351" customWidth="1"/>
    <col min="8461" max="8461" width="14.5703125" style="351" bestFit="1" customWidth="1"/>
    <col min="8462" max="8469" width="9" style="351" customWidth="1"/>
    <col min="8470" max="8704" width="9.140625" style="351"/>
    <col min="8705" max="8705" width="9.5703125" style="351" customWidth="1"/>
    <col min="8706" max="8706" width="23.7109375" style="351" customWidth="1"/>
    <col min="8707" max="8707" width="14.5703125" style="351" customWidth="1"/>
    <col min="8708" max="8708" width="14.85546875" style="351" customWidth="1"/>
    <col min="8709" max="8711" width="14.7109375" style="351" customWidth="1"/>
    <col min="8712" max="8712" width="15.28515625" style="351" bestFit="1" customWidth="1"/>
    <col min="8713" max="8713" width="10.28515625" style="351" bestFit="1" customWidth="1"/>
    <col min="8714" max="8714" width="12.28515625" style="351" bestFit="1" customWidth="1"/>
    <col min="8715" max="8715" width="10.28515625" style="351" bestFit="1" customWidth="1"/>
    <col min="8716" max="8716" width="9" style="351" customWidth="1"/>
    <col min="8717" max="8717" width="14.5703125" style="351" bestFit="1" customWidth="1"/>
    <col min="8718" max="8725" width="9" style="351" customWidth="1"/>
    <col min="8726" max="8960" width="9.140625" style="351"/>
    <col min="8961" max="8961" width="9.5703125" style="351" customWidth="1"/>
    <col min="8962" max="8962" width="23.7109375" style="351" customWidth="1"/>
    <col min="8963" max="8963" width="14.5703125" style="351" customWidth="1"/>
    <col min="8964" max="8964" width="14.85546875" style="351" customWidth="1"/>
    <col min="8965" max="8967" width="14.7109375" style="351" customWidth="1"/>
    <col min="8968" max="8968" width="15.28515625" style="351" bestFit="1" customWidth="1"/>
    <col min="8969" max="8969" width="10.28515625" style="351" bestFit="1" customWidth="1"/>
    <col min="8970" max="8970" width="12.28515625" style="351" bestFit="1" customWidth="1"/>
    <col min="8971" max="8971" width="10.28515625" style="351" bestFit="1" customWidth="1"/>
    <col min="8972" max="8972" width="9" style="351" customWidth="1"/>
    <col min="8973" max="8973" width="14.5703125" style="351" bestFit="1" customWidth="1"/>
    <col min="8974" max="8981" width="9" style="351" customWidth="1"/>
    <col min="8982" max="9216" width="9.140625" style="351"/>
    <col min="9217" max="9217" width="9.5703125" style="351" customWidth="1"/>
    <col min="9218" max="9218" width="23.7109375" style="351" customWidth="1"/>
    <col min="9219" max="9219" width="14.5703125" style="351" customWidth="1"/>
    <col min="9220" max="9220" width="14.85546875" style="351" customWidth="1"/>
    <col min="9221" max="9223" width="14.7109375" style="351" customWidth="1"/>
    <col min="9224" max="9224" width="15.28515625" style="351" bestFit="1" customWidth="1"/>
    <col min="9225" max="9225" width="10.28515625" style="351" bestFit="1" customWidth="1"/>
    <col min="9226" max="9226" width="12.28515625" style="351" bestFit="1" customWidth="1"/>
    <col min="9227" max="9227" width="10.28515625" style="351" bestFit="1" customWidth="1"/>
    <col min="9228" max="9228" width="9" style="351" customWidth="1"/>
    <col min="9229" max="9229" width="14.5703125" style="351" bestFit="1" customWidth="1"/>
    <col min="9230" max="9237" width="9" style="351" customWidth="1"/>
    <col min="9238" max="9472" width="9.140625" style="351"/>
    <col min="9473" max="9473" width="9.5703125" style="351" customWidth="1"/>
    <col min="9474" max="9474" width="23.7109375" style="351" customWidth="1"/>
    <col min="9475" max="9475" width="14.5703125" style="351" customWidth="1"/>
    <col min="9476" max="9476" width="14.85546875" style="351" customWidth="1"/>
    <col min="9477" max="9479" width="14.7109375" style="351" customWidth="1"/>
    <col min="9480" max="9480" width="15.28515625" style="351" bestFit="1" customWidth="1"/>
    <col min="9481" max="9481" width="10.28515625" style="351" bestFit="1" customWidth="1"/>
    <col min="9482" max="9482" width="12.28515625" style="351" bestFit="1" customWidth="1"/>
    <col min="9483" max="9483" width="10.28515625" style="351" bestFit="1" customWidth="1"/>
    <col min="9484" max="9484" width="9" style="351" customWidth="1"/>
    <col min="9485" max="9485" width="14.5703125" style="351" bestFit="1" customWidth="1"/>
    <col min="9486" max="9493" width="9" style="351" customWidth="1"/>
    <col min="9494" max="9728" width="9.140625" style="351"/>
    <col min="9729" max="9729" width="9.5703125" style="351" customWidth="1"/>
    <col min="9730" max="9730" width="23.7109375" style="351" customWidth="1"/>
    <col min="9731" max="9731" width="14.5703125" style="351" customWidth="1"/>
    <col min="9732" max="9732" width="14.85546875" style="351" customWidth="1"/>
    <col min="9733" max="9735" width="14.7109375" style="351" customWidth="1"/>
    <col min="9736" max="9736" width="15.28515625" style="351" bestFit="1" customWidth="1"/>
    <col min="9737" max="9737" width="10.28515625" style="351" bestFit="1" customWidth="1"/>
    <col min="9738" max="9738" width="12.28515625" style="351" bestFit="1" customWidth="1"/>
    <col min="9739" max="9739" width="10.28515625" style="351" bestFit="1" customWidth="1"/>
    <col min="9740" max="9740" width="9" style="351" customWidth="1"/>
    <col min="9741" max="9741" width="14.5703125" style="351" bestFit="1" customWidth="1"/>
    <col min="9742" max="9749" width="9" style="351" customWidth="1"/>
    <col min="9750" max="9984" width="9.140625" style="351"/>
    <col min="9985" max="9985" width="9.5703125" style="351" customWidth="1"/>
    <col min="9986" max="9986" width="23.7109375" style="351" customWidth="1"/>
    <col min="9987" max="9987" width="14.5703125" style="351" customWidth="1"/>
    <col min="9988" max="9988" width="14.85546875" style="351" customWidth="1"/>
    <col min="9989" max="9991" width="14.7109375" style="351" customWidth="1"/>
    <col min="9992" max="9992" width="15.28515625" style="351" bestFit="1" customWidth="1"/>
    <col min="9993" max="9993" width="10.28515625" style="351" bestFit="1" customWidth="1"/>
    <col min="9994" max="9994" width="12.28515625" style="351" bestFit="1" customWidth="1"/>
    <col min="9995" max="9995" width="10.28515625" style="351" bestFit="1" customWidth="1"/>
    <col min="9996" max="9996" width="9" style="351" customWidth="1"/>
    <col min="9997" max="9997" width="14.5703125" style="351" bestFit="1" customWidth="1"/>
    <col min="9998" max="10005" width="9" style="351" customWidth="1"/>
    <col min="10006" max="10240" width="9.140625" style="351"/>
    <col min="10241" max="10241" width="9.5703125" style="351" customWidth="1"/>
    <col min="10242" max="10242" width="23.7109375" style="351" customWidth="1"/>
    <col min="10243" max="10243" width="14.5703125" style="351" customWidth="1"/>
    <col min="10244" max="10244" width="14.85546875" style="351" customWidth="1"/>
    <col min="10245" max="10247" width="14.7109375" style="351" customWidth="1"/>
    <col min="10248" max="10248" width="15.28515625" style="351" bestFit="1" customWidth="1"/>
    <col min="10249" max="10249" width="10.28515625" style="351" bestFit="1" customWidth="1"/>
    <col min="10250" max="10250" width="12.28515625" style="351" bestFit="1" customWidth="1"/>
    <col min="10251" max="10251" width="10.28515625" style="351" bestFit="1" customWidth="1"/>
    <col min="10252" max="10252" width="9" style="351" customWidth="1"/>
    <col min="10253" max="10253" width="14.5703125" style="351" bestFit="1" customWidth="1"/>
    <col min="10254" max="10261" width="9" style="351" customWidth="1"/>
    <col min="10262" max="10496" width="9.140625" style="351"/>
    <col min="10497" max="10497" width="9.5703125" style="351" customWidth="1"/>
    <col min="10498" max="10498" width="23.7109375" style="351" customWidth="1"/>
    <col min="10499" max="10499" width="14.5703125" style="351" customWidth="1"/>
    <col min="10500" max="10500" width="14.85546875" style="351" customWidth="1"/>
    <col min="10501" max="10503" width="14.7109375" style="351" customWidth="1"/>
    <col min="10504" max="10504" width="15.28515625" style="351" bestFit="1" customWidth="1"/>
    <col min="10505" max="10505" width="10.28515625" style="351" bestFit="1" customWidth="1"/>
    <col min="10506" max="10506" width="12.28515625" style="351" bestFit="1" customWidth="1"/>
    <col min="10507" max="10507" width="10.28515625" style="351" bestFit="1" customWidth="1"/>
    <col min="10508" max="10508" width="9" style="351" customWidth="1"/>
    <col min="10509" max="10509" width="14.5703125" style="351" bestFit="1" customWidth="1"/>
    <col min="10510" max="10517" width="9" style="351" customWidth="1"/>
    <col min="10518" max="10752" width="9.140625" style="351"/>
    <col min="10753" max="10753" width="9.5703125" style="351" customWidth="1"/>
    <col min="10754" max="10754" width="23.7109375" style="351" customWidth="1"/>
    <col min="10755" max="10755" width="14.5703125" style="351" customWidth="1"/>
    <col min="10756" max="10756" width="14.85546875" style="351" customWidth="1"/>
    <col min="10757" max="10759" width="14.7109375" style="351" customWidth="1"/>
    <col min="10760" max="10760" width="15.28515625" style="351" bestFit="1" customWidth="1"/>
    <col min="10761" max="10761" width="10.28515625" style="351" bestFit="1" customWidth="1"/>
    <col min="10762" max="10762" width="12.28515625" style="351" bestFit="1" customWidth="1"/>
    <col min="10763" max="10763" width="10.28515625" style="351" bestFit="1" customWidth="1"/>
    <col min="10764" max="10764" width="9" style="351" customWidth="1"/>
    <col min="10765" max="10765" width="14.5703125" style="351" bestFit="1" customWidth="1"/>
    <col min="10766" max="10773" width="9" style="351" customWidth="1"/>
    <col min="10774" max="11008" width="9.140625" style="351"/>
    <col min="11009" max="11009" width="9.5703125" style="351" customWidth="1"/>
    <col min="11010" max="11010" width="23.7109375" style="351" customWidth="1"/>
    <col min="11011" max="11011" width="14.5703125" style="351" customWidth="1"/>
    <col min="11012" max="11012" width="14.85546875" style="351" customWidth="1"/>
    <col min="11013" max="11015" width="14.7109375" style="351" customWidth="1"/>
    <col min="11016" max="11016" width="15.28515625" style="351" bestFit="1" customWidth="1"/>
    <col min="11017" max="11017" width="10.28515625" style="351" bestFit="1" customWidth="1"/>
    <col min="11018" max="11018" width="12.28515625" style="351" bestFit="1" customWidth="1"/>
    <col min="11019" max="11019" width="10.28515625" style="351" bestFit="1" customWidth="1"/>
    <col min="11020" max="11020" width="9" style="351" customWidth="1"/>
    <col min="11021" max="11021" width="14.5703125" style="351" bestFit="1" customWidth="1"/>
    <col min="11022" max="11029" width="9" style="351" customWidth="1"/>
    <col min="11030" max="11264" width="9.140625" style="351"/>
    <col min="11265" max="11265" width="9.5703125" style="351" customWidth="1"/>
    <col min="11266" max="11266" width="23.7109375" style="351" customWidth="1"/>
    <col min="11267" max="11267" width="14.5703125" style="351" customWidth="1"/>
    <col min="11268" max="11268" width="14.85546875" style="351" customWidth="1"/>
    <col min="11269" max="11271" width="14.7109375" style="351" customWidth="1"/>
    <col min="11272" max="11272" width="15.28515625" style="351" bestFit="1" customWidth="1"/>
    <col min="11273" max="11273" width="10.28515625" style="351" bestFit="1" customWidth="1"/>
    <col min="11274" max="11274" width="12.28515625" style="351" bestFit="1" customWidth="1"/>
    <col min="11275" max="11275" width="10.28515625" style="351" bestFit="1" customWidth="1"/>
    <col min="11276" max="11276" width="9" style="351" customWidth="1"/>
    <col min="11277" max="11277" width="14.5703125" style="351" bestFit="1" customWidth="1"/>
    <col min="11278" max="11285" width="9" style="351" customWidth="1"/>
    <col min="11286" max="11520" width="9.140625" style="351"/>
    <col min="11521" max="11521" width="9.5703125" style="351" customWidth="1"/>
    <col min="11522" max="11522" width="23.7109375" style="351" customWidth="1"/>
    <col min="11523" max="11523" width="14.5703125" style="351" customWidth="1"/>
    <col min="11524" max="11524" width="14.85546875" style="351" customWidth="1"/>
    <col min="11525" max="11527" width="14.7109375" style="351" customWidth="1"/>
    <col min="11528" max="11528" width="15.28515625" style="351" bestFit="1" customWidth="1"/>
    <col min="11529" max="11529" width="10.28515625" style="351" bestFit="1" customWidth="1"/>
    <col min="11530" max="11530" width="12.28515625" style="351" bestFit="1" customWidth="1"/>
    <col min="11531" max="11531" width="10.28515625" style="351" bestFit="1" customWidth="1"/>
    <col min="11532" max="11532" width="9" style="351" customWidth="1"/>
    <col min="11533" max="11533" width="14.5703125" style="351" bestFit="1" customWidth="1"/>
    <col min="11534" max="11541" width="9" style="351" customWidth="1"/>
    <col min="11542" max="11776" width="9.140625" style="351"/>
    <col min="11777" max="11777" width="9.5703125" style="351" customWidth="1"/>
    <col min="11778" max="11778" width="23.7109375" style="351" customWidth="1"/>
    <col min="11779" max="11779" width="14.5703125" style="351" customWidth="1"/>
    <col min="11780" max="11780" width="14.85546875" style="351" customWidth="1"/>
    <col min="11781" max="11783" width="14.7109375" style="351" customWidth="1"/>
    <col min="11784" max="11784" width="15.28515625" style="351" bestFit="1" customWidth="1"/>
    <col min="11785" max="11785" width="10.28515625" style="351" bestFit="1" customWidth="1"/>
    <col min="11786" max="11786" width="12.28515625" style="351" bestFit="1" customWidth="1"/>
    <col min="11787" max="11787" width="10.28515625" style="351" bestFit="1" customWidth="1"/>
    <col min="11788" max="11788" width="9" style="351" customWidth="1"/>
    <col min="11789" max="11789" width="14.5703125" style="351" bestFit="1" customWidth="1"/>
    <col min="11790" max="11797" width="9" style="351" customWidth="1"/>
    <col min="11798" max="12032" width="9.140625" style="351"/>
    <col min="12033" max="12033" width="9.5703125" style="351" customWidth="1"/>
    <col min="12034" max="12034" width="23.7109375" style="351" customWidth="1"/>
    <col min="12035" max="12035" width="14.5703125" style="351" customWidth="1"/>
    <col min="12036" max="12036" width="14.85546875" style="351" customWidth="1"/>
    <col min="12037" max="12039" width="14.7109375" style="351" customWidth="1"/>
    <col min="12040" max="12040" width="15.28515625" style="351" bestFit="1" customWidth="1"/>
    <col min="12041" max="12041" width="10.28515625" style="351" bestFit="1" customWidth="1"/>
    <col min="12042" max="12042" width="12.28515625" style="351" bestFit="1" customWidth="1"/>
    <col min="12043" max="12043" width="10.28515625" style="351" bestFit="1" customWidth="1"/>
    <col min="12044" max="12044" width="9" style="351" customWidth="1"/>
    <col min="12045" max="12045" width="14.5703125" style="351" bestFit="1" customWidth="1"/>
    <col min="12046" max="12053" width="9" style="351" customWidth="1"/>
    <col min="12054" max="12288" width="9.140625" style="351"/>
    <col min="12289" max="12289" width="9.5703125" style="351" customWidth="1"/>
    <col min="12290" max="12290" width="23.7109375" style="351" customWidth="1"/>
    <col min="12291" max="12291" width="14.5703125" style="351" customWidth="1"/>
    <col min="12292" max="12292" width="14.85546875" style="351" customWidth="1"/>
    <col min="12293" max="12295" width="14.7109375" style="351" customWidth="1"/>
    <col min="12296" max="12296" width="15.28515625" style="351" bestFit="1" customWidth="1"/>
    <col min="12297" max="12297" width="10.28515625" style="351" bestFit="1" customWidth="1"/>
    <col min="12298" max="12298" width="12.28515625" style="351" bestFit="1" customWidth="1"/>
    <col min="12299" max="12299" width="10.28515625" style="351" bestFit="1" customWidth="1"/>
    <col min="12300" max="12300" width="9" style="351" customWidth="1"/>
    <col min="12301" max="12301" width="14.5703125" style="351" bestFit="1" customWidth="1"/>
    <col min="12302" max="12309" width="9" style="351" customWidth="1"/>
    <col min="12310" max="12544" width="9.140625" style="351"/>
    <col min="12545" max="12545" width="9.5703125" style="351" customWidth="1"/>
    <col min="12546" max="12546" width="23.7109375" style="351" customWidth="1"/>
    <col min="12547" max="12547" width="14.5703125" style="351" customWidth="1"/>
    <col min="12548" max="12548" width="14.85546875" style="351" customWidth="1"/>
    <col min="12549" max="12551" width="14.7109375" style="351" customWidth="1"/>
    <col min="12552" max="12552" width="15.28515625" style="351" bestFit="1" customWidth="1"/>
    <col min="12553" max="12553" width="10.28515625" style="351" bestFit="1" customWidth="1"/>
    <col min="12554" max="12554" width="12.28515625" style="351" bestFit="1" customWidth="1"/>
    <col min="12555" max="12555" width="10.28515625" style="351" bestFit="1" customWidth="1"/>
    <col min="12556" max="12556" width="9" style="351" customWidth="1"/>
    <col min="12557" max="12557" width="14.5703125" style="351" bestFit="1" customWidth="1"/>
    <col min="12558" max="12565" width="9" style="351" customWidth="1"/>
    <col min="12566" max="12800" width="9.140625" style="351"/>
    <col min="12801" max="12801" width="9.5703125" style="351" customWidth="1"/>
    <col min="12802" max="12802" width="23.7109375" style="351" customWidth="1"/>
    <col min="12803" max="12803" width="14.5703125" style="351" customWidth="1"/>
    <col min="12804" max="12804" width="14.85546875" style="351" customWidth="1"/>
    <col min="12805" max="12807" width="14.7109375" style="351" customWidth="1"/>
    <col min="12808" max="12808" width="15.28515625" style="351" bestFit="1" customWidth="1"/>
    <col min="12809" max="12809" width="10.28515625" style="351" bestFit="1" customWidth="1"/>
    <col min="12810" max="12810" width="12.28515625" style="351" bestFit="1" customWidth="1"/>
    <col min="12811" max="12811" width="10.28515625" style="351" bestFit="1" customWidth="1"/>
    <col min="12812" max="12812" width="9" style="351" customWidth="1"/>
    <col min="12813" max="12813" width="14.5703125" style="351" bestFit="1" customWidth="1"/>
    <col min="12814" max="12821" width="9" style="351" customWidth="1"/>
    <col min="12822" max="13056" width="9.140625" style="351"/>
    <col min="13057" max="13057" width="9.5703125" style="351" customWidth="1"/>
    <col min="13058" max="13058" width="23.7109375" style="351" customWidth="1"/>
    <col min="13059" max="13059" width="14.5703125" style="351" customWidth="1"/>
    <col min="13060" max="13060" width="14.85546875" style="351" customWidth="1"/>
    <col min="13061" max="13063" width="14.7109375" style="351" customWidth="1"/>
    <col min="13064" max="13064" width="15.28515625" style="351" bestFit="1" customWidth="1"/>
    <col min="13065" max="13065" width="10.28515625" style="351" bestFit="1" customWidth="1"/>
    <col min="13066" max="13066" width="12.28515625" style="351" bestFit="1" customWidth="1"/>
    <col min="13067" max="13067" width="10.28515625" style="351" bestFit="1" customWidth="1"/>
    <col min="13068" max="13068" width="9" style="351" customWidth="1"/>
    <col min="13069" max="13069" width="14.5703125" style="351" bestFit="1" customWidth="1"/>
    <col min="13070" max="13077" width="9" style="351" customWidth="1"/>
    <col min="13078" max="13312" width="9.140625" style="351"/>
    <col min="13313" max="13313" width="9.5703125" style="351" customWidth="1"/>
    <col min="13314" max="13314" width="23.7109375" style="351" customWidth="1"/>
    <col min="13315" max="13315" width="14.5703125" style="351" customWidth="1"/>
    <col min="13316" max="13316" width="14.85546875" style="351" customWidth="1"/>
    <col min="13317" max="13319" width="14.7109375" style="351" customWidth="1"/>
    <col min="13320" max="13320" width="15.28515625" style="351" bestFit="1" customWidth="1"/>
    <col min="13321" max="13321" width="10.28515625" style="351" bestFit="1" customWidth="1"/>
    <col min="13322" max="13322" width="12.28515625" style="351" bestFit="1" customWidth="1"/>
    <col min="13323" max="13323" width="10.28515625" style="351" bestFit="1" customWidth="1"/>
    <col min="13324" max="13324" width="9" style="351" customWidth="1"/>
    <col min="13325" max="13325" width="14.5703125" style="351" bestFit="1" customWidth="1"/>
    <col min="13326" max="13333" width="9" style="351" customWidth="1"/>
    <col min="13334" max="13568" width="9.140625" style="351"/>
    <col min="13569" max="13569" width="9.5703125" style="351" customWidth="1"/>
    <col min="13570" max="13570" width="23.7109375" style="351" customWidth="1"/>
    <col min="13571" max="13571" width="14.5703125" style="351" customWidth="1"/>
    <col min="13572" max="13572" width="14.85546875" style="351" customWidth="1"/>
    <col min="13573" max="13575" width="14.7109375" style="351" customWidth="1"/>
    <col min="13576" max="13576" width="15.28515625" style="351" bestFit="1" customWidth="1"/>
    <col min="13577" max="13577" width="10.28515625" style="351" bestFit="1" customWidth="1"/>
    <col min="13578" max="13578" width="12.28515625" style="351" bestFit="1" customWidth="1"/>
    <col min="13579" max="13579" width="10.28515625" style="351" bestFit="1" customWidth="1"/>
    <col min="13580" max="13580" width="9" style="351" customWidth="1"/>
    <col min="13581" max="13581" width="14.5703125" style="351" bestFit="1" customWidth="1"/>
    <col min="13582" max="13589" width="9" style="351" customWidth="1"/>
    <col min="13590" max="13824" width="9.140625" style="351"/>
    <col min="13825" max="13825" width="9.5703125" style="351" customWidth="1"/>
    <col min="13826" max="13826" width="23.7109375" style="351" customWidth="1"/>
    <col min="13827" max="13827" width="14.5703125" style="351" customWidth="1"/>
    <col min="13828" max="13828" width="14.85546875" style="351" customWidth="1"/>
    <col min="13829" max="13831" width="14.7109375" style="351" customWidth="1"/>
    <col min="13832" max="13832" width="15.28515625" style="351" bestFit="1" customWidth="1"/>
    <col min="13833" max="13833" width="10.28515625" style="351" bestFit="1" customWidth="1"/>
    <col min="13834" max="13834" width="12.28515625" style="351" bestFit="1" customWidth="1"/>
    <col min="13835" max="13835" width="10.28515625" style="351" bestFit="1" customWidth="1"/>
    <col min="13836" max="13836" width="9" style="351" customWidth="1"/>
    <col min="13837" max="13837" width="14.5703125" style="351" bestFit="1" customWidth="1"/>
    <col min="13838" max="13845" width="9" style="351" customWidth="1"/>
    <col min="13846" max="14080" width="9.140625" style="351"/>
    <col min="14081" max="14081" width="9.5703125" style="351" customWidth="1"/>
    <col min="14082" max="14082" width="23.7109375" style="351" customWidth="1"/>
    <col min="14083" max="14083" width="14.5703125" style="351" customWidth="1"/>
    <col min="14084" max="14084" width="14.85546875" style="351" customWidth="1"/>
    <col min="14085" max="14087" width="14.7109375" style="351" customWidth="1"/>
    <col min="14088" max="14088" width="15.28515625" style="351" bestFit="1" customWidth="1"/>
    <col min="14089" max="14089" width="10.28515625" style="351" bestFit="1" customWidth="1"/>
    <col min="14090" max="14090" width="12.28515625" style="351" bestFit="1" customWidth="1"/>
    <col min="14091" max="14091" width="10.28515625" style="351" bestFit="1" customWidth="1"/>
    <col min="14092" max="14092" width="9" style="351" customWidth="1"/>
    <col min="14093" max="14093" width="14.5703125" style="351" bestFit="1" customWidth="1"/>
    <col min="14094" max="14101" width="9" style="351" customWidth="1"/>
    <col min="14102" max="14336" width="9.140625" style="351"/>
    <col min="14337" max="14337" width="9.5703125" style="351" customWidth="1"/>
    <col min="14338" max="14338" width="23.7109375" style="351" customWidth="1"/>
    <col min="14339" max="14339" width="14.5703125" style="351" customWidth="1"/>
    <col min="14340" max="14340" width="14.85546875" style="351" customWidth="1"/>
    <col min="14341" max="14343" width="14.7109375" style="351" customWidth="1"/>
    <col min="14344" max="14344" width="15.28515625" style="351" bestFit="1" customWidth="1"/>
    <col min="14345" max="14345" width="10.28515625" style="351" bestFit="1" customWidth="1"/>
    <col min="14346" max="14346" width="12.28515625" style="351" bestFit="1" customWidth="1"/>
    <col min="14347" max="14347" width="10.28515625" style="351" bestFit="1" customWidth="1"/>
    <col min="14348" max="14348" width="9" style="351" customWidth="1"/>
    <col min="14349" max="14349" width="14.5703125" style="351" bestFit="1" customWidth="1"/>
    <col min="14350" max="14357" width="9" style="351" customWidth="1"/>
    <col min="14358" max="14592" width="9.140625" style="351"/>
    <col min="14593" max="14593" width="9.5703125" style="351" customWidth="1"/>
    <col min="14594" max="14594" width="23.7109375" style="351" customWidth="1"/>
    <col min="14595" max="14595" width="14.5703125" style="351" customWidth="1"/>
    <col min="14596" max="14596" width="14.85546875" style="351" customWidth="1"/>
    <col min="14597" max="14599" width="14.7109375" style="351" customWidth="1"/>
    <col min="14600" max="14600" width="15.28515625" style="351" bestFit="1" customWidth="1"/>
    <col min="14601" max="14601" width="10.28515625" style="351" bestFit="1" customWidth="1"/>
    <col min="14602" max="14602" width="12.28515625" style="351" bestFit="1" customWidth="1"/>
    <col min="14603" max="14603" width="10.28515625" style="351" bestFit="1" customWidth="1"/>
    <col min="14604" max="14604" width="9" style="351" customWidth="1"/>
    <col min="14605" max="14605" width="14.5703125" style="351" bestFit="1" customWidth="1"/>
    <col min="14606" max="14613" width="9" style="351" customWidth="1"/>
    <col min="14614" max="14848" width="9.140625" style="351"/>
    <col min="14849" max="14849" width="9.5703125" style="351" customWidth="1"/>
    <col min="14850" max="14850" width="23.7109375" style="351" customWidth="1"/>
    <col min="14851" max="14851" width="14.5703125" style="351" customWidth="1"/>
    <col min="14852" max="14852" width="14.85546875" style="351" customWidth="1"/>
    <col min="14853" max="14855" width="14.7109375" style="351" customWidth="1"/>
    <col min="14856" max="14856" width="15.28515625" style="351" bestFit="1" customWidth="1"/>
    <col min="14857" max="14857" width="10.28515625" style="351" bestFit="1" customWidth="1"/>
    <col min="14858" max="14858" width="12.28515625" style="351" bestFit="1" customWidth="1"/>
    <col min="14859" max="14859" width="10.28515625" style="351" bestFit="1" customWidth="1"/>
    <col min="14860" max="14860" width="9" style="351" customWidth="1"/>
    <col min="14861" max="14861" width="14.5703125" style="351" bestFit="1" customWidth="1"/>
    <col min="14862" max="14869" width="9" style="351" customWidth="1"/>
    <col min="14870" max="15104" width="9.140625" style="351"/>
    <col min="15105" max="15105" width="9.5703125" style="351" customWidth="1"/>
    <col min="15106" max="15106" width="23.7109375" style="351" customWidth="1"/>
    <col min="15107" max="15107" width="14.5703125" style="351" customWidth="1"/>
    <col min="15108" max="15108" width="14.85546875" style="351" customWidth="1"/>
    <col min="15109" max="15111" width="14.7109375" style="351" customWidth="1"/>
    <col min="15112" max="15112" width="15.28515625" style="351" bestFit="1" customWidth="1"/>
    <col min="15113" max="15113" width="10.28515625" style="351" bestFit="1" customWidth="1"/>
    <col min="15114" max="15114" width="12.28515625" style="351" bestFit="1" customWidth="1"/>
    <col min="15115" max="15115" width="10.28515625" style="351" bestFit="1" customWidth="1"/>
    <col min="15116" max="15116" width="9" style="351" customWidth="1"/>
    <col min="15117" max="15117" width="14.5703125" style="351" bestFit="1" customWidth="1"/>
    <col min="15118" max="15125" width="9" style="351" customWidth="1"/>
    <col min="15126" max="15360" width="9.140625" style="351"/>
    <col min="15361" max="15361" width="9.5703125" style="351" customWidth="1"/>
    <col min="15362" max="15362" width="23.7109375" style="351" customWidth="1"/>
    <col min="15363" max="15363" width="14.5703125" style="351" customWidth="1"/>
    <col min="15364" max="15364" width="14.85546875" style="351" customWidth="1"/>
    <col min="15365" max="15367" width="14.7109375" style="351" customWidth="1"/>
    <col min="15368" max="15368" width="15.28515625" style="351" bestFit="1" customWidth="1"/>
    <col min="15369" max="15369" width="10.28515625" style="351" bestFit="1" customWidth="1"/>
    <col min="15370" max="15370" width="12.28515625" style="351" bestFit="1" customWidth="1"/>
    <col min="15371" max="15371" width="10.28515625" style="351" bestFit="1" customWidth="1"/>
    <col min="15372" max="15372" width="9" style="351" customWidth="1"/>
    <col min="15373" max="15373" width="14.5703125" style="351" bestFit="1" customWidth="1"/>
    <col min="15374" max="15381" width="9" style="351" customWidth="1"/>
    <col min="15382" max="15616" width="9.140625" style="351"/>
    <col min="15617" max="15617" width="9.5703125" style="351" customWidth="1"/>
    <col min="15618" max="15618" width="23.7109375" style="351" customWidth="1"/>
    <col min="15619" max="15619" width="14.5703125" style="351" customWidth="1"/>
    <col min="15620" max="15620" width="14.85546875" style="351" customWidth="1"/>
    <col min="15621" max="15623" width="14.7109375" style="351" customWidth="1"/>
    <col min="15624" max="15624" width="15.28515625" style="351" bestFit="1" customWidth="1"/>
    <col min="15625" max="15625" width="10.28515625" style="351" bestFit="1" customWidth="1"/>
    <col min="15626" max="15626" width="12.28515625" style="351" bestFit="1" customWidth="1"/>
    <col min="15627" max="15627" width="10.28515625" style="351" bestFit="1" customWidth="1"/>
    <col min="15628" max="15628" width="9" style="351" customWidth="1"/>
    <col min="15629" max="15629" width="14.5703125" style="351" bestFit="1" customWidth="1"/>
    <col min="15630" max="15637" width="9" style="351" customWidth="1"/>
    <col min="15638" max="15872" width="9.140625" style="351"/>
    <col min="15873" max="15873" width="9.5703125" style="351" customWidth="1"/>
    <col min="15874" max="15874" width="23.7109375" style="351" customWidth="1"/>
    <col min="15875" max="15875" width="14.5703125" style="351" customWidth="1"/>
    <col min="15876" max="15876" width="14.85546875" style="351" customWidth="1"/>
    <col min="15877" max="15879" width="14.7109375" style="351" customWidth="1"/>
    <col min="15880" max="15880" width="15.28515625" style="351" bestFit="1" customWidth="1"/>
    <col min="15881" max="15881" width="10.28515625" style="351" bestFit="1" customWidth="1"/>
    <col min="15882" max="15882" width="12.28515625" style="351" bestFit="1" customWidth="1"/>
    <col min="15883" max="15883" width="10.28515625" style="351" bestFit="1" customWidth="1"/>
    <col min="15884" max="15884" width="9" style="351" customWidth="1"/>
    <col min="15885" max="15885" width="14.5703125" style="351" bestFit="1" customWidth="1"/>
    <col min="15886" max="15893" width="9" style="351" customWidth="1"/>
    <col min="15894" max="16128" width="9.140625" style="351"/>
    <col min="16129" max="16129" width="9.5703125" style="351" customWidth="1"/>
    <col min="16130" max="16130" width="23.7109375" style="351" customWidth="1"/>
    <col min="16131" max="16131" width="14.5703125" style="351" customWidth="1"/>
    <col min="16132" max="16132" width="14.85546875" style="351" customWidth="1"/>
    <col min="16133" max="16135" width="14.7109375" style="351" customWidth="1"/>
    <col min="16136" max="16136" width="15.28515625" style="351" bestFit="1" customWidth="1"/>
    <col min="16137" max="16137" width="10.28515625" style="351" bestFit="1" customWidth="1"/>
    <col min="16138" max="16138" width="12.28515625" style="351" bestFit="1" customWidth="1"/>
    <col min="16139" max="16139" width="10.28515625" style="351" bestFit="1" customWidth="1"/>
    <col min="16140" max="16140" width="9" style="351" customWidth="1"/>
    <col min="16141" max="16141" width="14.5703125" style="351" bestFit="1" customWidth="1"/>
    <col min="16142" max="16149" width="9" style="351" customWidth="1"/>
    <col min="16150" max="16384" width="9.140625" style="351"/>
  </cols>
  <sheetData>
    <row r="1" spans="1:21" s="337" customFormat="1" ht="21" x14ac:dyDescent="0.35">
      <c r="A1" s="630" t="s">
        <v>564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21" s="337" customFormat="1" ht="19.5" x14ac:dyDescent="0.3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21" s="337" customFormat="1" ht="19.5" x14ac:dyDescent="0.3">
      <c r="A3" s="339" t="s">
        <v>565</v>
      </c>
      <c r="B3" s="339"/>
      <c r="C3" s="339"/>
      <c r="D3" s="339"/>
      <c r="E3" s="339"/>
      <c r="F3" s="340"/>
      <c r="G3" s="340"/>
      <c r="H3" s="339"/>
      <c r="I3" s="339"/>
      <c r="J3" s="341"/>
      <c r="K3" s="342"/>
    </row>
    <row r="4" spans="1:21" s="343" customFormat="1" x14ac:dyDescent="0.2">
      <c r="A4" s="631" t="s">
        <v>566</v>
      </c>
      <c r="B4" s="632"/>
      <c r="C4" s="637" t="s">
        <v>567</v>
      </c>
      <c r="D4" s="638"/>
      <c r="E4" s="639"/>
      <c r="F4" s="637" t="s">
        <v>571</v>
      </c>
      <c r="G4" s="638"/>
      <c r="H4" s="639"/>
      <c r="I4" s="640" t="s">
        <v>263</v>
      </c>
      <c r="J4" s="640"/>
      <c r="K4" s="640"/>
    </row>
    <row r="5" spans="1:21" s="343" customFormat="1" x14ac:dyDescent="0.2">
      <c r="A5" s="633"/>
      <c r="B5" s="634"/>
      <c r="C5" s="641" t="s">
        <v>550</v>
      </c>
      <c r="D5" s="631" t="s">
        <v>551</v>
      </c>
      <c r="E5" s="643" t="s">
        <v>178</v>
      </c>
      <c r="F5" s="641" t="s">
        <v>550</v>
      </c>
      <c r="G5" s="631" t="s">
        <v>551</v>
      </c>
      <c r="H5" s="643" t="s">
        <v>178</v>
      </c>
      <c r="I5" s="344" t="s">
        <v>550</v>
      </c>
      <c r="J5" s="345" t="s">
        <v>551</v>
      </c>
      <c r="K5" s="345" t="s">
        <v>178</v>
      </c>
    </row>
    <row r="6" spans="1:21" s="343" customFormat="1" x14ac:dyDescent="0.2">
      <c r="A6" s="635"/>
      <c r="B6" s="636"/>
      <c r="C6" s="642"/>
      <c r="D6" s="635"/>
      <c r="E6" s="644"/>
      <c r="F6" s="642"/>
      <c r="G6" s="635"/>
      <c r="H6" s="644"/>
      <c r="I6" s="346" t="s">
        <v>568</v>
      </c>
      <c r="J6" s="346" t="s">
        <v>568</v>
      </c>
      <c r="K6" s="346" t="s">
        <v>568</v>
      </c>
    </row>
    <row r="7" spans="1:21" x14ac:dyDescent="0.3">
      <c r="A7" s="649"/>
      <c r="B7" s="650"/>
      <c r="C7" s="347"/>
      <c r="D7" s="348"/>
      <c r="E7" s="349"/>
      <c r="F7" s="347"/>
      <c r="G7" s="348"/>
      <c r="H7" s="349"/>
      <c r="I7" s="349"/>
      <c r="J7" s="350"/>
      <c r="K7" s="350"/>
      <c r="M7" s="352"/>
    </row>
    <row r="8" spans="1:21" x14ac:dyDescent="0.3">
      <c r="A8" s="651" t="s">
        <v>72</v>
      </c>
      <c r="B8" s="652"/>
      <c r="C8" s="353">
        <v>103202108.75</v>
      </c>
      <c r="D8" s="348"/>
      <c r="E8" s="354">
        <f>SUM(C8:D8)</f>
        <v>103202108.75</v>
      </c>
      <c r="F8" s="353">
        <v>126694861.34999999</v>
      </c>
      <c r="G8" s="348"/>
      <c r="H8" s="354">
        <f>SUM(F8:G8)</f>
        <v>126694861.34999999</v>
      </c>
      <c r="I8" s="355">
        <f>SUM(F8-C8)*100/C8</f>
        <v>22.763830007494875</v>
      </c>
      <c r="J8" s="350"/>
      <c r="K8" s="356">
        <f>SUM(H8-E8)*100/E8</f>
        <v>22.763830007494875</v>
      </c>
    </row>
    <row r="9" spans="1:21" x14ac:dyDescent="0.3">
      <c r="A9" s="651" t="s">
        <v>569</v>
      </c>
      <c r="B9" s="652"/>
      <c r="C9" s="357">
        <v>3439584.41</v>
      </c>
      <c r="D9" s="358"/>
      <c r="E9" s="359">
        <f>SUM(C9:D9)</f>
        <v>3439584.41</v>
      </c>
      <c r="F9" s="357">
        <v>3307581.1</v>
      </c>
      <c r="G9" s="358"/>
      <c r="H9" s="354">
        <f>SUM(F9:G9)</f>
        <v>3307581.1</v>
      </c>
      <c r="I9" s="355">
        <f>SUM(F9-C9)*100/C9</f>
        <v>-3.8377691681652917</v>
      </c>
      <c r="J9" s="356"/>
      <c r="K9" s="356">
        <f>SUM(H9-E9)*100/E9</f>
        <v>-3.8377691681652917</v>
      </c>
    </row>
    <row r="10" spans="1:21" x14ac:dyDescent="0.3">
      <c r="A10" s="651" t="s">
        <v>570</v>
      </c>
      <c r="B10" s="652"/>
      <c r="C10" s="360"/>
      <c r="D10" s="360">
        <v>855733.48</v>
      </c>
      <c r="E10" s="359">
        <f>SUM(C10:D10)</f>
        <v>855733.48</v>
      </c>
      <c r="F10" s="360"/>
      <c r="G10" s="360">
        <v>18813.230000000189</v>
      </c>
      <c r="H10" s="354">
        <f>SUM(F10:G10)</f>
        <v>18813.230000000189</v>
      </c>
      <c r="I10" s="355"/>
      <c r="J10" s="355">
        <f>SUM(G10-D10)*100/D10</f>
        <v>-97.801508245300823</v>
      </c>
      <c r="K10" s="356">
        <f>SUM(H10-E10)*100/E10</f>
        <v>-97.801508245300823</v>
      </c>
    </row>
    <row r="11" spans="1:21" x14ac:dyDescent="0.3">
      <c r="A11" s="645"/>
      <c r="B11" s="646"/>
      <c r="C11" s="361"/>
      <c r="D11" s="362"/>
      <c r="E11" s="363"/>
      <c r="F11" s="361"/>
      <c r="G11" s="362"/>
      <c r="H11" s="363"/>
      <c r="I11" s="364"/>
      <c r="J11" s="365"/>
      <c r="K11" s="365"/>
    </row>
    <row r="12" spans="1:21" s="369" customFormat="1" ht="19.5" thickBot="1" x14ac:dyDescent="0.25">
      <c r="A12" s="647" t="s">
        <v>1</v>
      </c>
      <c r="B12" s="648"/>
      <c r="C12" s="366">
        <f t="shared" ref="C12:H12" si="0">SUM(C8:C11)</f>
        <v>106641693.16</v>
      </c>
      <c r="D12" s="366">
        <f t="shared" si="0"/>
        <v>855733.48</v>
      </c>
      <c r="E12" s="366">
        <f t="shared" si="0"/>
        <v>107497426.64</v>
      </c>
      <c r="F12" s="366">
        <f t="shared" si="0"/>
        <v>130002442.44999999</v>
      </c>
      <c r="G12" s="366">
        <f t="shared" si="0"/>
        <v>18813.230000000189</v>
      </c>
      <c r="H12" s="366">
        <f t="shared" si="0"/>
        <v>130021255.67999999</v>
      </c>
      <c r="I12" s="367"/>
      <c r="J12" s="368"/>
      <c r="K12" s="368"/>
    </row>
    <row r="13" spans="1:21" s="372" customFormat="1" ht="19.5" thickTop="1" x14ac:dyDescent="0.3">
      <c r="A13" s="370"/>
      <c r="B13" s="370"/>
      <c r="C13" s="371"/>
      <c r="D13" s="371"/>
      <c r="E13" s="371"/>
      <c r="H13" s="373"/>
      <c r="I13" s="373"/>
      <c r="J13" s="369"/>
      <c r="K13" s="374"/>
      <c r="L13" s="351"/>
      <c r="M13" s="351"/>
      <c r="N13" s="351"/>
      <c r="O13" s="351"/>
      <c r="P13" s="351"/>
      <c r="Q13" s="351"/>
      <c r="R13" s="351"/>
      <c r="S13" s="351"/>
      <c r="T13" s="351"/>
      <c r="U13" s="351"/>
    </row>
    <row r="14" spans="1:21" x14ac:dyDescent="0.3">
      <c r="A14" s="373"/>
    </row>
    <row r="15" spans="1:21" x14ac:dyDescent="0.3">
      <c r="B15" s="373"/>
    </row>
    <row r="16" spans="1:21" s="372" customFormat="1" x14ac:dyDescent="0.3">
      <c r="A16" s="375"/>
      <c r="B16" s="373"/>
      <c r="C16" s="373"/>
      <c r="D16" s="373"/>
      <c r="E16" s="373"/>
      <c r="F16" s="376"/>
      <c r="G16" s="376"/>
      <c r="H16" s="373"/>
      <c r="I16" s="373"/>
      <c r="J16" s="369"/>
      <c r="K16" s="374"/>
      <c r="L16" s="351"/>
      <c r="M16" s="351"/>
      <c r="N16" s="351"/>
      <c r="O16" s="351"/>
      <c r="P16" s="351"/>
      <c r="Q16" s="351"/>
      <c r="R16" s="351"/>
      <c r="S16" s="351"/>
      <c r="T16" s="351"/>
      <c r="U16" s="351"/>
    </row>
    <row r="17" spans="1:21" s="372" customFormat="1" x14ac:dyDescent="0.3">
      <c r="A17" s="370"/>
      <c r="B17" s="373"/>
      <c r="C17" s="373"/>
      <c r="D17" s="373"/>
      <c r="E17" s="373"/>
      <c r="H17" s="373"/>
      <c r="I17" s="373"/>
      <c r="J17" s="369"/>
      <c r="K17" s="374"/>
      <c r="L17" s="351"/>
      <c r="M17" s="351"/>
      <c r="N17" s="351"/>
      <c r="O17" s="351"/>
      <c r="P17" s="351"/>
      <c r="Q17" s="351"/>
      <c r="R17" s="351"/>
      <c r="S17" s="351"/>
      <c r="T17" s="351"/>
      <c r="U17" s="351"/>
    </row>
    <row r="18" spans="1:21" s="372" customFormat="1" x14ac:dyDescent="0.3">
      <c r="A18" s="370"/>
      <c r="B18" s="373"/>
      <c r="C18" s="373"/>
      <c r="D18" s="373"/>
      <c r="E18" s="373"/>
      <c r="H18" s="373"/>
      <c r="I18" s="373"/>
      <c r="J18" s="369"/>
      <c r="K18" s="374"/>
      <c r="L18" s="351"/>
      <c r="M18" s="351"/>
      <c r="N18" s="351"/>
      <c r="O18" s="351"/>
      <c r="P18" s="351"/>
      <c r="Q18" s="351"/>
      <c r="R18" s="351"/>
      <c r="S18" s="351"/>
      <c r="T18" s="351"/>
      <c r="U18" s="351"/>
    </row>
  </sheetData>
  <mergeCells count="17">
    <mergeCell ref="A11:B11"/>
    <mergeCell ref="A12:B12"/>
    <mergeCell ref="H5:H6"/>
    <mergeCell ref="A7:B7"/>
    <mergeCell ref="A8:B8"/>
    <mergeCell ref="A9:B9"/>
    <mergeCell ref="A10:B10"/>
    <mergeCell ref="A1:K1"/>
    <mergeCell ref="A4:B6"/>
    <mergeCell ref="C4:E4"/>
    <mergeCell ref="F4:H4"/>
    <mergeCell ref="I4:K4"/>
    <mergeCell ref="C5:C6"/>
    <mergeCell ref="D5:D6"/>
    <mergeCell ref="E5:E6"/>
    <mergeCell ref="F5:F6"/>
    <mergeCell ref="G5:G6"/>
  </mergeCells>
  <pageMargins left="0.31496062992125984" right="0" top="0.74803149606299213" bottom="0.55118110236220474" header="0.31496062992125984" footer="0.31496062992125984"/>
  <pageSetup paperSize="9" scale="9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C5"/>
  <sheetViews>
    <sheetView view="pageBreakPreview" zoomScaleNormal="100" zoomScaleSheetLayoutView="100" workbookViewId="0">
      <selection activeCell="A14" sqref="A14"/>
    </sheetView>
  </sheetViews>
  <sheetFormatPr defaultRowHeight="18.75" x14ac:dyDescent="0.3"/>
  <cols>
    <col min="1" max="1" width="51.7109375" style="414" customWidth="1"/>
    <col min="2" max="2" width="7" style="415" customWidth="1"/>
    <col min="3" max="3" width="145.5703125" style="414" customWidth="1"/>
  </cols>
  <sheetData>
    <row r="1" spans="1:3" ht="21" x14ac:dyDescent="0.35">
      <c r="A1" s="21" t="s">
        <v>682</v>
      </c>
      <c r="B1" s="21"/>
      <c r="C1" s="403"/>
    </row>
    <row r="2" spans="1:3" ht="21" x14ac:dyDescent="0.35">
      <c r="A2" s="84" t="s">
        <v>645</v>
      </c>
      <c r="B2" s="402"/>
      <c r="C2" s="403"/>
    </row>
    <row r="3" spans="1:3" ht="21" x14ac:dyDescent="0.35">
      <c r="A3" s="404" t="s">
        <v>646</v>
      </c>
      <c r="B3" s="405"/>
      <c r="C3" s="406"/>
    </row>
    <row r="4" spans="1:3" ht="42" x14ac:dyDescent="0.35">
      <c r="A4" s="319" t="s">
        <v>570</v>
      </c>
      <c r="B4" s="413" t="s">
        <v>579</v>
      </c>
      <c r="C4" s="467" t="s">
        <v>647</v>
      </c>
    </row>
    <row r="5" spans="1:3" ht="21" x14ac:dyDescent="0.35">
      <c r="C5" s="84"/>
    </row>
  </sheetData>
  <pageMargins left="0.31496062992125984" right="0" top="0.74803149606299213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view="pageBreakPreview" zoomScaleNormal="85" zoomScaleSheetLayoutView="10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L17" sqref="L17"/>
    </sheetView>
  </sheetViews>
  <sheetFormatPr defaultRowHeight="18.75" x14ac:dyDescent="0.3"/>
  <cols>
    <col min="1" max="1" width="35.42578125" style="23" customWidth="1"/>
    <col min="2" max="2" width="11.85546875" style="23" bestFit="1" customWidth="1"/>
    <col min="3" max="3" width="13.42578125" style="23" bestFit="1" customWidth="1"/>
    <col min="4" max="4" width="11.5703125" style="23" bestFit="1" customWidth="1"/>
    <col min="5" max="5" width="14.42578125" style="23" customWidth="1"/>
    <col min="6" max="8" width="11.85546875" style="23" bestFit="1" customWidth="1"/>
    <col min="9" max="9" width="13.140625" style="23" bestFit="1" customWidth="1"/>
    <col min="10" max="10" width="11.85546875" style="23" bestFit="1" customWidth="1"/>
    <col min="11" max="11" width="11" style="23" customWidth="1"/>
    <col min="12" max="12" width="12.42578125" style="23" bestFit="1" customWidth="1"/>
    <col min="13" max="13" width="11.7109375" style="23" customWidth="1"/>
    <col min="14" max="14" width="11.85546875" style="23" bestFit="1" customWidth="1"/>
    <col min="15" max="15" width="13.140625" style="21" bestFit="1" customWidth="1"/>
    <col min="16" max="255" width="9.140625" style="23"/>
    <col min="256" max="259" width="13.85546875" style="23" customWidth="1"/>
    <col min="260" max="260" width="30.42578125" style="23" customWidth="1"/>
    <col min="261" max="270" width="13.85546875" style="23" customWidth="1"/>
    <col min="271" max="511" width="9.140625" style="23"/>
    <col min="512" max="515" width="13.85546875" style="23" customWidth="1"/>
    <col min="516" max="516" width="30.42578125" style="23" customWidth="1"/>
    <col min="517" max="526" width="13.85546875" style="23" customWidth="1"/>
    <col min="527" max="767" width="9.140625" style="23"/>
    <col min="768" max="771" width="13.85546875" style="23" customWidth="1"/>
    <col min="772" max="772" width="30.42578125" style="23" customWidth="1"/>
    <col min="773" max="782" width="13.85546875" style="23" customWidth="1"/>
    <col min="783" max="1023" width="9.140625" style="23"/>
    <col min="1024" max="1027" width="13.85546875" style="23" customWidth="1"/>
    <col min="1028" max="1028" width="30.42578125" style="23" customWidth="1"/>
    <col min="1029" max="1038" width="13.85546875" style="23" customWidth="1"/>
    <col min="1039" max="1279" width="9.140625" style="23"/>
    <col min="1280" max="1283" width="13.85546875" style="23" customWidth="1"/>
    <col min="1284" max="1284" width="30.42578125" style="23" customWidth="1"/>
    <col min="1285" max="1294" width="13.85546875" style="23" customWidth="1"/>
    <col min="1295" max="1535" width="9.140625" style="23"/>
    <col min="1536" max="1539" width="13.85546875" style="23" customWidth="1"/>
    <col min="1540" max="1540" width="30.42578125" style="23" customWidth="1"/>
    <col min="1541" max="1550" width="13.85546875" style="23" customWidth="1"/>
    <col min="1551" max="1791" width="9.140625" style="23"/>
    <col min="1792" max="1795" width="13.85546875" style="23" customWidth="1"/>
    <col min="1796" max="1796" width="30.42578125" style="23" customWidth="1"/>
    <col min="1797" max="1806" width="13.85546875" style="23" customWidth="1"/>
    <col min="1807" max="2047" width="9.140625" style="23"/>
    <col min="2048" max="2051" width="13.85546875" style="23" customWidth="1"/>
    <col min="2052" max="2052" width="30.42578125" style="23" customWidth="1"/>
    <col min="2053" max="2062" width="13.85546875" style="23" customWidth="1"/>
    <col min="2063" max="2303" width="9.140625" style="23"/>
    <col min="2304" max="2307" width="13.85546875" style="23" customWidth="1"/>
    <col min="2308" max="2308" width="30.42578125" style="23" customWidth="1"/>
    <col min="2309" max="2318" width="13.85546875" style="23" customWidth="1"/>
    <col min="2319" max="2559" width="9.140625" style="23"/>
    <col min="2560" max="2563" width="13.85546875" style="23" customWidth="1"/>
    <col min="2564" max="2564" width="30.42578125" style="23" customWidth="1"/>
    <col min="2565" max="2574" width="13.85546875" style="23" customWidth="1"/>
    <col min="2575" max="2815" width="9.140625" style="23"/>
    <col min="2816" max="2819" width="13.85546875" style="23" customWidth="1"/>
    <col min="2820" max="2820" width="30.42578125" style="23" customWidth="1"/>
    <col min="2821" max="2830" width="13.85546875" style="23" customWidth="1"/>
    <col min="2831" max="3071" width="9.140625" style="23"/>
    <col min="3072" max="3075" width="13.85546875" style="23" customWidth="1"/>
    <col min="3076" max="3076" width="30.42578125" style="23" customWidth="1"/>
    <col min="3077" max="3086" width="13.85546875" style="23" customWidth="1"/>
    <col min="3087" max="3327" width="9.140625" style="23"/>
    <col min="3328" max="3331" width="13.85546875" style="23" customWidth="1"/>
    <col min="3332" max="3332" width="30.42578125" style="23" customWidth="1"/>
    <col min="3333" max="3342" width="13.85546875" style="23" customWidth="1"/>
    <col min="3343" max="3583" width="9.140625" style="23"/>
    <col min="3584" max="3587" width="13.85546875" style="23" customWidth="1"/>
    <col min="3588" max="3588" width="30.42578125" style="23" customWidth="1"/>
    <col min="3589" max="3598" width="13.85546875" style="23" customWidth="1"/>
    <col min="3599" max="3839" width="9.140625" style="23"/>
    <col min="3840" max="3843" width="13.85546875" style="23" customWidth="1"/>
    <col min="3844" max="3844" width="30.42578125" style="23" customWidth="1"/>
    <col min="3845" max="3854" width="13.85546875" style="23" customWidth="1"/>
    <col min="3855" max="4095" width="9.140625" style="23"/>
    <col min="4096" max="4099" width="13.85546875" style="23" customWidth="1"/>
    <col min="4100" max="4100" width="30.42578125" style="23" customWidth="1"/>
    <col min="4101" max="4110" width="13.85546875" style="23" customWidth="1"/>
    <col min="4111" max="4351" width="9.140625" style="23"/>
    <col min="4352" max="4355" width="13.85546875" style="23" customWidth="1"/>
    <col min="4356" max="4356" width="30.42578125" style="23" customWidth="1"/>
    <col min="4357" max="4366" width="13.85546875" style="23" customWidth="1"/>
    <col min="4367" max="4607" width="9.140625" style="23"/>
    <col min="4608" max="4611" width="13.85546875" style="23" customWidth="1"/>
    <col min="4612" max="4612" width="30.42578125" style="23" customWidth="1"/>
    <col min="4613" max="4622" width="13.85546875" style="23" customWidth="1"/>
    <col min="4623" max="4863" width="9.140625" style="23"/>
    <col min="4864" max="4867" width="13.85546875" style="23" customWidth="1"/>
    <col min="4868" max="4868" width="30.42578125" style="23" customWidth="1"/>
    <col min="4869" max="4878" width="13.85546875" style="23" customWidth="1"/>
    <col min="4879" max="5119" width="9.140625" style="23"/>
    <col min="5120" max="5123" width="13.85546875" style="23" customWidth="1"/>
    <col min="5124" max="5124" width="30.42578125" style="23" customWidth="1"/>
    <col min="5125" max="5134" width="13.85546875" style="23" customWidth="1"/>
    <col min="5135" max="5375" width="9.140625" style="23"/>
    <col min="5376" max="5379" width="13.85546875" style="23" customWidth="1"/>
    <col min="5380" max="5380" width="30.42578125" style="23" customWidth="1"/>
    <col min="5381" max="5390" width="13.85546875" style="23" customWidth="1"/>
    <col min="5391" max="5631" width="9.140625" style="23"/>
    <col min="5632" max="5635" width="13.85546875" style="23" customWidth="1"/>
    <col min="5636" max="5636" width="30.42578125" style="23" customWidth="1"/>
    <col min="5637" max="5646" width="13.85546875" style="23" customWidth="1"/>
    <col min="5647" max="5887" width="9.140625" style="23"/>
    <col min="5888" max="5891" width="13.85546875" style="23" customWidth="1"/>
    <col min="5892" max="5892" width="30.42578125" style="23" customWidth="1"/>
    <col min="5893" max="5902" width="13.85546875" style="23" customWidth="1"/>
    <col min="5903" max="6143" width="9.140625" style="23"/>
    <col min="6144" max="6147" width="13.85546875" style="23" customWidth="1"/>
    <col min="6148" max="6148" width="30.42578125" style="23" customWidth="1"/>
    <col min="6149" max="6158" width="13.85546875" style="23" customWidth="1"/>
    <col min="6159" max="6399" width="9.140625" style="23"/>
    <col min="6400" max="6403" width="13.85546875" style="23" customWidth="1"/>
    <col min="6404" max="6404" width="30.42578125" style="23" customWidth="1"/>
    <col min="6405" max="6414" width="13.85546875" style="23" customWidth="1"/>
    <col min="6415" max="6655" width="9.140625" style="23"/>
    <col min="6656" max="6659" width="13.85546875" style="23" customWidth="1"/>
    <col min="6660" max="6660" width="30.42578125" style="23" customWidth="1"/>
    <col min="6661" max="6670" width="13.85546875" style="23" customWidth="1"/>
    <col min="6671" max="6911" width="9.140625" style="23"/>
    <col min="6912" max="6915" width="13.85546875" style="23" customWidth="1"/>
    <col min="6916" max="6916" width="30.42578125" style="23" customWidth="1"/>
    <col min="6917" max="6926" width="13.85546875" style="23" customWidth="1"/>
    <col min="6927" max="7167" width="9.140625" style="23"/>
    <col min="7168" max="7171" width="13.85546875" style="23" customWidth="1"/>
    <col min="7172" max="7172" width="30.42578125" style="23" customWidth="1"/>
    <col min="7173" max="7182" width="13.85546875" style="23" customWidth="1"/>
    <col min="7183" max="7423" width="9.140625" style="23"/>
    <col min="7424" max="7427" width="13.85546875" style="23" customWidth="1"/>
    <col min="7428" max="7428" width="30.42578125" style="23" customWidth="1"/>
    <col min="7429" max="7438" width="13.85546875" style="23" customWidth="1"/>
    <col min="7439" max="7679" width="9.140625" style="23"/>
    <col min="7680" max="7683" width="13.85546875" style="23" customWidth="1"/>
    <col min="7684" max="7684" width="30.42578125" style="23" customWidth="1"/>
    <col min="7685" max="7694" width="13.85546875" style="23" customWidth="1"/>
    <col min="7695" max="7935" width="9.140625" style="23"/>
    <col min="7936" max="7939" width="13.85546875" style="23" customWidth="1"/>
    <col min="7940" max="7940" width="30.42578125" style="23" customWidth="1"/>
    <col min="7941" max="7950" width="13.85546875" style="23" customWidth="1"/>
    <col min="7951" max="8191" width="9.140625" style="23"/>
    <col min="8192" max="8195" width="13.85546875" style="23" customWidth="1"/>
    <col min="8196" max="8196" width="30.42578125" style="23" customWidth="1"/>
    <col min="8197" max="8206" width="13.85546875" style="23" customWidth="1"/>
    <col min="8207" max="8447" width="9.140625" style="23"/>
    <col min="8448" max="8451" width="13.85546875" style="23" customWidth="1"/>
    <col min="8452" max="8452" width="30.42578125" style="23" customWidth="1"/>
    <col min="8453" max="8462" width="13.85546875" style="23" customWidth="1"/>
    <col min="8463" max="8703" width="9.140625" style="23"/>
    <col min="8704" max="8707" width="13.85546875" style="23" customWidth="1"/>
    <col min="8708" max="8708" width="30.42578125" style="23" customWidth="1"/>
    <col min="8709" max="8718" width="13.85546875" style="23" customWidth="1"/>
    <col min="8719" max="8959" width="9.140625" style="23"/>
    <col min="8960" max="8963" width="13.85546875" style="23" customWidth="1"/>
    <col min="8964" max="8964" width="30.42578125" style="23" customWidth="1"/>
    <col min="8965" max="8974" width="13.85546875" style="23" customWidth="1"/>
    <col min="8975" max="9215" width="9.140625" style="23"/>
    <col min="9216" max="9219" width="13.85546875" style="23" customWidth="1"/>
    <col min="9220" max="9220" width="30.42578125" style="23" customWidth="1"/>
    <col min="9221" max="9230" width="13.85546875" style="23" customWidth="1"/>
    <col min="9231" max="9471" width="9.140625" style="23"/>
    <col min="9472" max="9475" width="13.85546875" style="23" customWidth="1"/>
    <col min="9476" max="9476" width="30.42578125" style="23" customWidth="1"/>
    <col min="9477" max="9486" width="13.85546875" style="23" customWidth="1"/>
    <col min="9487" max="9727" width="9.140625" style="23"/>
    <col min="9728" max="9731" width="13.85546875" style="23" customWidth="1"/>
    <col min="9732" max="9732" width="30.42578125" style="23" customWidth="1"/>
    <col min="9733" max="9742" width="13.85546875" style="23" customWidth="1"/>
    <col min="9743" max="9983" width="9.140625" style="23"/>
    <col min="9984" max="9987" width="13.85546875" style="23" customWidth="1"/>
    <col min="9988" max="9988" width="30.42578125" style="23" customWidth="1"/>
    <col min="9989" max="9998" width="13.85546875" style="23" customWidth="1"/>
    <col min="9999" max="10239" width="9.140625" style="23"/>
    <col min="10240" max="10243" width="13.85546875" style="23" customWidth="1"/>
    <col min="10244" max="10244" width="30.42578125" style="23" customWidth="1"/>
    <col min="10245" max="10254" width="13.85546875" style="23" customWidth="1"/>
    <col min="10255" max="10495" width="9.140625" style="23"/>
    <col min="10496" max="10499" width="13.85546875" style="23" customWidth="1"/>
    <col min="10500" max="10500" width="30.42578125" style="23" customWidth="1"/>
    <col min="10501" max="10510" width="13.85546875" style="23" customWidth="1"/>
    <col min="10511" max="10751" width="9.140625" style="23"/>
    <col min="10752" max="10755" width="13.85546875" style="23" customWidth="1"/>
    <col min="10756" max="10756" width="30.42578125" style="23" customWidth="1"/>
    <col min="10757" max="10766" width="13.85546875" style="23" customWidth="1"/>
    <col min="10767" max="11007" width="9.140625" style="23"/>
    <col min="11008" max="11011" width="13.85546875" style="23" customWidth="1"/>
    <col min="11012" max="11012" width="30.42578125" style="23" customWidth="1"/>
    <col min="11013" max="11022" width="13.85546875" style="23" customWidth="1"/>
    <col min="11023" max="11263" width="9.140625" style="23"/>
    <col min="11264" max="11267" width="13.85546875" style="23" customWidth="1"/>
    <col min="11268" max="11268" width="30.42578125" style="23" customWidth="1"/>
    <col min="11269" max="11278" width="13.85546875" style="23" customWidth="1"/>
    <col min="11279" max="11519" width="9.140625" style="23"/>
    <col min="11520" max="11523" width="13.85546875" style="23" customWidth="1"/>
    <col min="11524" max="11524" width="30.42578125" style="23" customWidth="1"/>
    <col min="11525" max="11534" width="13.85546875" style="23" customWidth="1"/>
    <col min="11535" max="11775" width="9.140625" style="23"/>
    <col min="11776" max="11779" width="13.85546875" style="23" customWidth="1"/>
    <col min="11780" max="11780" width="30.42578125" style="23" customWidth="1"/>
    <col min="11781" max="11790" width="13.85546875" style="23" customWidth="1"/>
    <col min="11791" max="12031" width="9.140625" style="23"/>
    <col min="12032" max="12035" width="13.85546875" style="23" customWidth="1"/>
    <col min="12036" max="12036" width="30.42578125" style="23" customWidth="1"/>
    <col min="12037" max="12046" width="13.85546875" style="23" customWidth="1"/>
    <col min="12047" max="12287" width="9.140625" style="23"/>
    <col min="12288" max="12291" width="13.85546875" style="23" customWidth="1"/>
    <col min="12292" max="12292" width="30.42578125" style="23" customWidth="1"/>
    <col min="12293" max="12302" width="13.85546875" style="23" customWidth="1"/>
    <col min="12303" max="12543" width="9.140625" style="23"/>
    <col min="12544" max="12547" width="13.85546875" style="23" customWidth="1"/>
    <col min="12548" max="12548" width="30.42578125" style="23" customWidth="1"/>
    <col min="12549" max="12558" width="13.85546875" style="23" customWidth="1"/>
    <col min="12559" max="12799" width="9.140625" style="23"/>
    <col min="12800" max="12803" width="13.85546875" style="23" customWidth="1"/>
    <col min="12804" max="12804" width="30.42578125" style="23" customWidth="1"/>
    <col min="12805" max="12814" width="13.85546875" style="23" customWidth="1"/>
    <col min="12815" max="13055" width="9.140625" style="23"/>
    <col min="13056" max="13059" width="13.85546875" style="23" customWidth="1"/>
    <col min="13060" max="13060" width="30.42578125" style="23" customWidth="1"/>
    <col min="13061" max="13070" width="13.85546875" style="23" customWidth="1"/>
    <col min="13071" max="13311" width="9.140625" style="23"/>
    <col min="13312" max="13315" width="13.85546875" style="23" customWidth="1"/>
    <col min="13316" max="13316" width="30.42578125" style="23" customWidth="1"/>
    <col min="13317" max="13326" width="13.85546875" style="23" customWidth="1"/>
    <col min="13327" max="13567" width="9.140625" style="23"/>
    <col min="13568" max="13571" width="13.85546875" style="23" customWidth="1"/>
    <col min="13572" max="13572" width="30.42578125" style="23" customWidth="1"/>
    <col min="13573" max="13582" width="13.85546875" style="23" customWidth="1"/>
    <col min="13583" max="13823" width="9.140625" style="23"/>
    <col min="13824" max="13827" width="13.85546875" style="23" customWidth="1"/>
    <col min="13828" max="13828" width="30.42578125" style="23" customWidth="1"/>
    <col min="13829" max="13838" width="13.85546875" style="23" customWidth="1"/>
    <col min="13839" max="14079" width="9.140625" style="23"/>
    <col min="14080" max="14083" width="13.85546875" style="23" customWidth="1"/>
    <col min="14084" max="14084" width="30.42578125" style="23" customWidth="1"/>
    <col min="14085" max="14094" width="13.85546875" style="23" customWidth="1"/>
    <col min="14095" max="14335" width="9.140625" style="23"/>
    <col min="14336" max="14339" width="13.85546875" style="23" customWidth="1"/>
    <col min="14340" max="14340" width="30.42578125" style="23" customWidth="1"/>
    <col min="14341" max="14350" width="13.85546875" style="23" customWidth="1"/>
    <col min="14351" max="14591" width="9.140625" style="23"/>
    <col min="14592" max="14595" width="13.85546875" style="23" customWidth="1"/>
    <col min="14596" max="14596" width="30.42578125" style="23" customWidth="1"/>
    <col min="14597" max="14606" width="13.85546875" style="23" customWidth="1"/>
    <col min="14607" max="14847" width="9.140625" style="23"/>
    <col min="14848" max="14851" width="13.85546875" style="23" customWidth="1"/>
    <col min="14852" max="14852" width="30.42578125" style="23" customWidth="1"/>
    <col min="14853" max="14862" width="13.85546875" style="23" customWidth="1"/>
    <col min="14863" max="15103" width="9.140625" style="23"/>
    <col min="15104" max="15107" width="13.85546875" style="23" customWidth="1"/>
    <col min="15108" max="15108" width="30.42578125" style="23" customWidth="1"/>
    <col min="15109" max="15118" width="13.85546875" style="23" customWidth="1"/>
    <col min="15119" max="15359" width="9.140625" style="23"/>
    <col min="15360" max="15363" width="13.85546875" style="23" customWidth="1"/>
    <col min="15364" max="15364" width="30.42578125" style="23" customWidth="1"/>
    <col min="15365" max="15374" width="13.85546875" style="23" customWidth="1"/>
    <col min="15375" max="15615" width="9.140625" style="23"/>
    <col min="15616" max="15619" width="13.85546875" style="23" customWidth="1"/>
    <col min="15620" max="15620" width="30.42578125" style="23" customWidth="1"/>
    <col min="15621" max="15630" width="13.85546875" style="23" customWidth="1"/>
    <col min="15631" max="15871" width="9.140625" style="23"/>
    <col min="15872" max="15875" width="13.85546875" style="23" customWidth="1"/>
    <col min="15876" max="15876" width="30.42578125" style="23" customWidth="1"/>
    <col min="15877" max="15886" width="13.85546875" style="23" customWidth="1"/>
    <col min="15887" max="16127" width="9.140625" style="23"/>
    <col min="16128" max="16131" width="13.85546875" style="23" customWidth="1"/>
    <col min="16132" max="16132" width="30.42578125" style="23" customWidth="1"/>
    <col min="16133" max="16142" width="13.85546875" style="23" customWidth="1"/>
    <col min="16143" max="16384" width="9.140625" style="23"/>
  </cols>
  <sheetData>
    <row r="1" spans="1:15" x14ac:dyDescent="0.3">
      <c r="A1" s="21" t="s">
        <v>648</v>
      </c>
      <c r="O1" s="37" t="s">
        <v>240</v>
      </c>
    </row>
    <row r="2" spans="1:15" x14ac:dyDescent="0.3">
      <c r="A2" s="555" t="s">
        <v>36</v>
      </c>
      <c r="B2" s="556" t="s">
        <v>70</v>
      </c>
      <c r="C2" s="557"/>
      <c r="D2" s="557"/>
      <c r="E2" s="557"/>
      <c r="F2" s="557"/>
      <c r="G2" s="557"/>
      <c r="H2" s="557"/>
      <c r="I2" s="558"/>
      <c r="J2" s="556" t="s">
        <v>71</v>
      </c>
      <c r="K2" s="557"/>
      <c r="L2" s="557"/>
      <c r="M2" s="557"/>
      <c r="N2" s="26"/>
      <c r="O2" s="564" t="s">
        <v>1</v>
      </c>
    </row>
    <row r="3" spans="1:15" s="21" customFormat="1" ht="37.5" customHeight="1" x14ac:dyDescent="0.3">
      <c r="A3" s="555"/>
      <c r="B3" s="559" t="s">
        <v>72</v>
      </c>
      <c r="C3" s="560" t="s">
        <v>73</v>
      </c>
      <c r="D3" s="559" t="s">
        <v>74</v>
      </c>
      <c r="E3" s="560" t="s">
        <v>75</v>
      </c>
      <c r="F3" s="560" t="s">
        <v>76</v>
      </c>
      <c r="G3" s="560" t="s">
        <v>77</v>
      </c>
      <c r="H3" s="561" t="s">
        <v>78</v>
      </c>
      <c r="I3" s="564" t="s">
        <v>1</v>
      </c>
      <c r="J3" s="559" t="s">
        <v>72</v>
      </c>
      <c r="K3" s="560" t="s">
        <v>75</v>
      </c>
      <c r="L3" s="560" t="s">
        <v>76</v>
      </c>
      <c r="M3" s="560" t="s">
        <v>77</v>
      </c>
      <c r="N3" s="564" t="s">
        <v>1</v>
      </c>
      <c r="O3" s="565"/>
    </row>
    <row r="4" spans="1:15" s="21" customFormat="1" x14ac:dyDescent="0.3">
      <c r="A4" s="555"/>
      <c r="B4" s="559"/>
      <c r="C4" s="560"/>
      <c r="D4" s="559"/>
      <c r="E4" s="560"/>
      <c r="F4" s="560"/>
      <c r="G4" s="560"/>
      <c r="H4" s="562"/>
      <c r="I4" s="565"/>
      <c r="J4" s="559"/>
      <c r="K4" s="560"/>
      <c r="L4" s="560"/>
      <c r="M4" s="560"/>
      <c r="N4" s="565"/>
      <c r="O4" s="565"/>
    </row>
    <row r="5" spans="1:15" s="21" customFormat="1" ht="22.5" customHeight="1" x14ac:dyDescent="0.3">
      <c r="A5" s="555"/>
      <c r="B5" s="559"/>
      <c r="C5" s="560"/>
      <c r="D5" s="559"/>
      <c r="E5" s="560"/>
      <c r="F5" s="560"/>
      <c r="G5" s="560"/>
      <c r="H5" s="563"/>
      <c r="I5" s="566"/>
      <c r="J5" s="559"/>
      <c r="K5" s="560"/>
      <c r="L5" s="560"/>
      <c r="M5" s="560"/>
      <c r="N5" s="565"/>
      <c r="O5" s="565"/>
    </row>
    <row r="6" spans="1:15" ht="18" hidden="1" customHeight="1" x14ac:dyDescent="0.3">
      <c r="A6" s="24" t="s">
        <v>36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80</v>
      </c>
      <c r="I6" s="27"/>
      <c r="J6" s="27" t="s">
        <v>37</v>
      </c>
      <c r="K6" s="27" t="s">
        <v>38</v>
      </c>
      <c r="L6" s="27" t="s">
        <v>39</v>
      </c>
      <c r="M6" s="32" t="s">
        <v>79</v>
      </c>
      <c r="N6" s="28"/>
      <c r="O6" s="36"/>
    </row>
    <row r="7" spans="1:15" ht="18" customHeight="1" x14ac:dyDescent="0.3">
      <c r="A7" s="20" t="s">
        <v>40</v>
      </c>
      <c r="B7" s="28"/>
      <c r="C7" s="28"/>
      <c r="D7" s="28"/>
      <c r="E7" s="28"/>
      <c r="F7" s="29"/>
      <c r="G7" s="28"/>
      <c r="H7" s="28"/>
      <c r="I7" s="28"/>
      <c r="J7" s="28"/>
      <c r="K7" s="28"/>
      <c r="L7" s="28"/>
      <c r="M7" s="33"/>
      <c r="N7" s="28"/>
      <c r="O7" s="36"/>
    </row>
    <row r="8" spans="1:15" ht="18" customHeight="1" x14ac:dyDescent="0.3">
      <c r="A8" s="22" t="s">
        <v>41</v>
      </c>
      <c r="B8" s="59">
        <v>3962735.55</v>
      </c>
      <c r="C8" s="59">
        <v>8065421</v>
      </c>
      <c r="D8" s="59">
        <v>4043309.5</v>
      </c>
      <c r="E8" s="59">
        <v>8144538.7699999996</v>
      </c>
      <c r="F8" s="59">
        <f>9336061.84+2</f>
        <v>9336063.8399999999</v>
      </c>
      <c r="G8" s="61"/>
      <c r="H8" s="59">
        <v>69784121.150000006</v>
      </c>
      <c r="I8" s="320">
        <f>SUM(B8:H8)</f>
        <v>103336189.81</v>
      </c>
      <c r="J8" s="59">
        <v>5938821.6257812493</v>
      </c>
      <c r="K8" s="61"/>
      <c r="L8" s="59">
        <v>69827.889843749988</v>
      </c>
      <c r="M8" s="481">
        <v>15966653.607793352</v>
      </c>
      <c r="N8" s="62">
        <f>SUM(J8:M8)</f>
        <v>21975303.12341835</v>
      </c>
      <c r="O8" s="62">
        <f>SUM(I8+N8)</f>
        <v>125311492.93341835</v>
      </c>
    </row>
    <row r="9" spans="1:15" ht="18" customHeight="1" x14ac:dyDescent="0.3">
      <c r="A9" s="22" t="s">
        <v>42</v>
      </c>
      <c r="B9" s="59">
        <v>4209061.32</v>
      </c>
      <c r="C9" s="59">
        <v>3325699.51</v>
      </c>
      <c r="D9" s="59">
        <v>5494267</v>
      </c>
      <c r="E9" s="59">
        <v>10204426.810000001</v>
      </c>
      <c r="F9" s="59">
        <v>4141912.48</v>
      </c>
      <c r="G9" s="61"/>
      <c r="H9" s="59">
        <v>29255603.350000001</v>
      </c>
      <c r="I9" s="320">
        <f t="shared" ref="I9:I36" si="0">SUM(B9:H9)</f>
        <v>56630970.469999999</v>
      </c>
      <c r="J9" s="59">
        <v>6028803.7716264185</v>
      </c>
      <c r="K9" s="61"/>
      <c r="L9" s="59">
        <v>70885.888174715918</v>
      </c>
      <c r="M9" s="481">
        <v>16208572.601850826</v>
      </c>
      <c r="N9" s="62">
        <f t="shared" ref="N9:N36" si="1">SUM(J9:M9)</f>
        <v>22308262.261651963</v>
      </c>
      <c r="O9" s="62">
        <f t="shared" ref="O9:O36" si="2">SUM(I9+N9)</f>
        <v>78939232.731651962</v>
      </c>
    </row>
    <row r="10" spans="1:15" ht="18" customHeight="1" x14ac:dyDescent="0.3">
      <c r="A10" s="22" t="s">
        <v>43</v>
      </c>
      <c r="B10" s="59">
        <v>4505719</v>
      </c>
      <c r="C10" s="59">
        <v>10212592</v>
      </c>
      <c r="D10" s="59">
        <v>4341902</v>
      </c>
      <c r="E10" s="59">
        <v>14352757</v>
      </c>
      <c r="F10" s="59">
        <v>8467036.0900000017</v>
      </c>
      <c r="G10" s="61"/>
      <c r="H10" s="59">
        <v>62615580.57</v>
      </c>
      <c r="I10" s="320">
        <f t="shared" si="0"/>
        <v>104495586.66</v>
      </c>
      <c r="J10" s="59">
        <v>5848839.4799360791</v>
      </c>
      <c r="K10" s="61"/>
      <c r="L10" s="59">
        <v>68769.891512784088</v>
      </c>
      <c r="M10" s="481">
        <v>15724734.613735877</v>
      </c>
      <c r="N10" s="62">
        <f t="shared" si="1"/>
        <v>21642343.98518474</v>
      </c>
      <c r="O10" s="62">
        <f t="shared" si="2"/>
        <v>126137930.64518474</v>
      </c>
    </row>
    <row r="11" spans="1:15" ht="18" customHeight="1" x14ac:dyDescent="0.3">
      <c r="A11" s="22" t="s">
        <v>44</v>
      </c>
      <c r="B11" s="59">
        <v>6096296</v>
      </c>
      <c r="C11" s="59">
        <v>20727549.239999995</v>
      </c>
      <c r="D11" s="59">
        <v>6082835.9500000002</v>
      </c>
      <c r="E11" s="59">
        <v>14605060.42</v>
      </c>
      <c r="F11" s="59">
        <f>1812742.26+7</f>
        <v>1812749.26</v>
      </c>
      <c r="G11" s="61"/>
      <c r="H11" s="59">
        <v>86579669.709999993</v>
      </c>
      <c r="I11" s="320">
        <f t="shared" si="0"/>
        <v>135904160.57999998</v>
      </c>
      <c r="J11" s="59">
        <v>7108589.5217684638</v>
      </c>
      <c r="K11" s="61"/>
      <c r="L11" s="59">
        <v>83581.868146306821</v>
      </c>
      <c r="M11" s="481">
        <v>19111600.530540526</v>
      </c>
      <c r="N11" s="62">
        <f t="shared" si="1"/>
        <v>26303771.920455296</v>
      </c>
      <c r="O11" s="62">
        <f t="shared" si="2"/>
        <v>162207932.50045529</v>
      </c>
    </row>
    <row r="12" spans="1:15" ht="18" customHeight="1" x14ac:dyDescent="0.3">
      <c r="A12" s="22" t="s">
        <v>45</v>
      </c>
      <c r="B12" s="59">
        <v>5373147.6199999992</v>
      </c>
      <c r="C12" s="59">
        <v>11448114.300000001</v>
      </c>
      <c r="D12" s="59">
        <v>7001943.3399999999</v>
      </c>
      <c r="E12" s="59">
        <v>18395328.890000001</v>
      </c>
      <c r="F12" s="59">
        <f>10102310.91+15</f>
        <v>10102325.91</v>
      </c>
      <c r="G12" s="61"/>
      <c r="H12" s="59">
        <v>43711529.409999996</v>
      </c>
      <c r="I12" s="320">
        <f t="shared" si="0"/>
        <v>96032389.469999999</v>
      </c>
      <c r="J12" s="59">
        <v>6838643.0842329543</v>
      </c>
      <c r="K12" s="61"/>
      <c r="L12" s="59">
        <v>80407.873153409091</v>
      </c>
      <c r="M12" s="481">
        <v>18385843.548368104</v>
      </c>
      <c r="N12" s="62">
        <f t="shared" si="1"/>
        <v>25304894.505754467</v>
      </c>
      <c r="O12" s="62">
        <f t="shared" si="2"/>
        <v>121337283.97575447</v>
      </c>
    </row>
    <row r="13" spans="1:15" ht="18" customHeight="1" x14ac:dyDescent="0.3">
      <c r="A13" s="22" t="s">
        <v>46</v>
      </c>
      <c r="B13" s="59">
        <v>4018925</v>
      </c>
      <c r="C13" s="59">
        <v>7740348.3499999996</v>
      </c>
      <c r="D13" s="59">
        <v>5026230.379999999</v>
      </c>
      <c r="E13" s="59">
        <v>10013021.620000001</v>
      </c>
      <c r="F13" s="59">
        <v>9235702.0400000028</v>
      </c>
      <c r="G13" s="61"/>
      <c r="H13" s="59">
        <v>48572963.729999997</v>
      </c>
      <c r="I13" s="320">
        <f t="shared" si="0"/>
        <v>84607191.120000005</v>
      </c>
      <c r="J13" s="59">
        <v>6118785.9174715905</v>
      </c>
      <c r="K13" s="61"/>
      <c r="L13" s="59">
        <v>71943.886505681818</v>
      </c>
      <c r="M13" s="481">
        <v>16450491.595908301</v>
      </c>
      <c r="N13" s="62">
        <f t="shared" si="1"/>
        <v>22641221.399885572</v>
      </c>
      <c r="O13" s="62">
        <f t="shared" si="2"/>
        <v>107248412.51988557</v>
      </c>
    </row>
    <row r="14" spans="1:15" ht="18" customHeight="1" x14ac:dyDescent="0.3">
      <c r="A14" s="22" t="s">
        <v>47</v>
      </c>
      <c r="B14" s="59">
        <v>3278489.3699999992</v>
      </c>
      <c r="C14" s="59">
        <v>7411688.6799999997</v>
      </c>
      <c r="D14" s="59">
        <v>4513621.97</v>
      </c>
      <c r="E14" s="59">
        <v>8220901.5300000003</v>
      </c>
      <c r="F14" s="59">
        <v>2890855.1300000008</v>
      </c>
      <c r="G14" s="61"/>
      <c r="H14" s="59">
        <v>43909313.859999999</v>
      </c>
      <c r="I14" s="320">
        <f t="shared" si="0"/>
        <v>70224870.539999992</v>
      </c>
      <c r="J14" s="59">
        <v>5758857.3340909081</v>
      </c>
      <c r="K14" s="61"/>
      <c r="L14" s="59">
        <v>67711.893181818188</v>
      </c>
      <c r="M14" s="481">
        <v>15482815.6196784</v>
      </c>
      <c r="N14" s="62">
        <f t="shared" si="1"/>
        <v>21309384.846951127</v>
      </c>
      <c r="O14" s="62">
        <f t="shared" si="2"/>
        <v>91534255.386951119</v>
      </c>
    </row>
    <row r="15" spans="1:15" ht="18" customHeight="1" x14ac:dyDescent="0.3">
      <c r="A15" s="22" t="s">
        <v>48</v>
      </c>
      <c r="B15" s="59">
        <v>4474692.83</v>
      </c>
      <c r="C15" s="59">
        <v>4126942.5</v>
      </c>
      <c r="D15" s="59">
        <v>4572565.25</v>
      </c>
      <c r="E15" s="59">
        <v>8981599.6400000006</v>
      </c>
      <c r="F15" s="59">
        <f>7570498.09+1</f>
        <v>7570499.0899999999</v>
      </c>
      <c r="G15" s="61"/>
      <c r="H15" s="59">
        <v>47819476.859999999</v>
      </c>
      <c r="I15" s="320">
        <f t="shared" si="0"/>
        <v>77545776.170000002</v>
      </c>
      <c r="J15" s="59">
        <v>5938821.6257812493</v>
      </c>
      <c r="K15" s="61"/>
      <c r="L15" s="59">
        <v>69827.889843749988</v>
      </c>
      <c r="M15" s="481">
        <v>15966653.607793352</v>
      </c>
      <c r="N15" s="62">
        <f t="shared" si="1"/>
        <v>21975303.12341835</v>
      </c>
      <c r="O15" s="62">
        <f t="shared" si="2"/>
        <v>99521079.293418348</v>
      </c>
    </row>
    <row r="16" spans="1:15" ht="18" customHeight="1" x14ac:dyDescent="0.3">
      <c r="A16" s="22" t="s">
        <v>49</v>
      </c>
      <c r="B16" s="59">
        <v>4003667.83</v>
      </c>
      <c r="C16" s="59">
        <v>5199493</v>
      </c>
      <c r="D16" s="59">
        <v>4076477</v>
      </c>
      <c r="E16" s="59">
        <f>5975100.89+43716.93</f>
        <v>6018817.8199999994</v>
      </c>
      <c r="F16" s="59">
        <f>3578964.61+17439.37</f>
        <v>3596403.98</v>
      </c>
      <c r="G16" s="61"/>
      <c r="H16" s="59">
        <v>60098787.950000003</v>
      </c>
      <c r="I16" s="320">
        <f t="shared" si="0"/>
        <v>82993647.579999998</v>
      </c>
      <c r="J16" s="59">
        <v>6658678.7925426122</v>
      </c>
      <c r="K16" s="61"/>
      <c r="L16" s="59">
        <v>78291.876491477276</v>
      </c>
      <c r="M16" s="481">
        <v>17902005.560253151</v>
      </c>
      <c r="N16" s="62">
        <f t="shared" si="1"/>
        <v>24638976.229287241</v>
      </c>
      <c r="O16" s="62">
        <f t="shared" si="2"/>
        <v>107632623.80928724</v>
      </c>
    </row>
    <row r="17" spans="1:15" ht="18" customHeight="1" x14ac:dyDescent="0.3">
      <c r="A17" s="22" t="s">
        <v>50</v>
      </c>
      <c r="B17" s="59">
        <v>5231382.3</v>
      </c>
      <c r="C17" s="59">
        <v>20001183.850000001</v>
      </c>
      <c r="D17" s="59">
        <v>730680.4</v>
      </c>
      <c r="E17" s="59">
        <v>16276333</v>
      </c>
      <c r="F17" s="59">
        <v>5876491.7300000004</v>
      </c>
      <c r="G17" s="61"/>
      <c r="H17" s="59">
        <v>15390230.890000001</v>
      </c>
      <c r="I17" s="320">
        <f t="shared" si="0"/>
        <v>63506302.170000002</v>
      </c>
      <c r="J17" s="59">
        <v>6208768.0633167606</v>
      </c>
      <c r="K17" s="61"/>
      <c r="L17" s="59">
        <v>73001.884836647732</v>
      </c>
      <c r="M17" s="481">
        <v>16692410.589965776</v>
      </c>
      <c r="N17" s="62">
        <f t="shared" si="1"/>
        <v>22974180.538119182</v>
      </c>
      <c r="O17" s="62">
        <f t="shared" si="2"/>
        <v>86480482.708119184</v>
      </c>
    </row>
    <row r="18" spans="1:15" ht="18" customHeight="1" x14ac:dyDescent="0.3">
      <c r="A18" s="22" t="s">
        <v>51</v>
      </c>
      <c r="B18" s="59">
        <v>3298000</v>
      </c>
      <c r="C18" s="61"/>
      <c r="D18" s="61"/>
      <c r="E18" s="59">
        <v>2400</v>
      </c>
      <c r="F18" s="59">
        <v>4193.5600000000004</v>
      </c>
      <c r="G18" s="59">
        <v>4556924</v>
      </c>
      <c r="H18" s="61"/>
      <c r="I18" s="320">
        <f t="shared" si="0"/>
        <v>7861517.5600000005</v>
      </c>
      <c r="J18" s="59">
        <v>89982.145845170438</v>
      </c>
      <c r="K18" s="61"/>
      <c r="L18" s="59">
        <v>1057.9983309659092</v>
      </c>
      <c r="M18" s="482"/>
      <c r="N18" s="62">
        <f t="shared" si="1"/>
        <v>91040.144176136353</v>
      </c>
      <c r="O18" s="62">
        <f t="shared" si="2"/>
        <v>7952557.7041761372</v>
      </c>
    </row>
    <row r="19" spans="1:15" ht="18" customHeight="1" x14ac:dyDescent="0.3">
      <c r="A19" s="22" t="s">
        <v>52</v>
      </c>
      <c r="B19" s="59">
        <v>4418697</v>
      </c>
      <c r="C19" s="61"/>
      <c r="D19" s="59">
        <v>658323</v>
      </c>
      <c r="E19" s="59">
        <v>1305700</v>
      </c>
      <c r="F19" s="59">
        <v>4193.5600000000004</v>
      </c>
      <c r="G19" s="59">
        <v>0</v>
      </c>
      <c r="H19" s="61"/>
      <c r="I19" s="320">
        <f t="shared" si="0"/>
        <v>6386913.5599999996</v>
      </c>
      <c r="J19" s="59">
        <v>89982.145845170438</v>
      </c>
      <c r="K19" s="61"/>
      <c r="L19" s="59">
        <v>1057.9983309659092</v>
      </c>
      <c r="M19" s="482"/>
      <c r="N19" s="62">
        <f t="shared" si="1"/>
        <v>91040.144176136353</v>
      </c>
      <c r="O19" s="62">
        <f t="shared" si="2"/>
        <v>6477953.7041761363</v>
      </c>
    </row>
    <row r="20" spans="1:15" ht="18" customHeight="1" x14ac:dyDescent="0.3">
      <c r="A20" s="22" t="s">
        <v>53</v>
      </c>
      <c r="B20" s="59">
        <v>2926245</v>
      </c>
      <c r="C20" s="61"/>
      <c r="D20" s="61"/>
      <c r="E20" s="59">
        <v>39277.97</v>
      </c>
      <c r="F20" s="59">
        <v>4193.5600000000004</v>
      </c>
      <c r="G20" s="59">
        <v>1918000</v>
      </c>
      <c r="H20" s="61"/>
      <c r="I20" s="320">
        <f t="shared" si="0"/>
        <v>4887716.53</v>
      </c>
      <c r="J20" s="59">
        <v>89982.145845170438</v>
      </c>
      <c r="K20" s="61"/>
      <c r="L20" s="59">
        <v>1057.9983309659092</v>
      </c>
      <c r="M20" s="482"/>
      <c r="N20" s="62">
        <f t="shared" si="1"/>
        <v>91040.144176136353</v>
      </c>
      <c r="O20" s="62">
        <f t="shared" si="2"/>
        <v>4978756.674176137</v>
      </c>
    </row>
    <row r="21" spans="1:15" ht="18" customHeight="1" x14ac:dyDescent="0.3">
      <c r="A21" s="22" t="s">
        <v>54</v>
      </c>
      <c r="B21" s="59">
        <v>2482350</v>
      </c>
      <c r="C21" s="61"/>
      <c r="D21" s="61"/>
      <c r="E21" s="59">
        <v>3600</v>
      </c>
      <c r="F21" s="59">
        <v>33970.859999999993</v>
      </c>
      <c r="G21" s="59">
        <v>3079881</v>
      </c>
      <c r="H21" s="61"/>
      <c r="I21" s="320">
        <f t="shared" si="0"/>
        <v>5599801.8599999994</v>
      </c>
      <c r="J21" s="59">
        <v>89982.145845170438</v>
      </c>
      <c r="K21" s="61"/>
      <c r="L21" s="59">
        <v>1057.9983309659092</v>
      </c>
      <c r="M21" s="482"/>
      <c r="N21" s="62">
        <f t="shared" si="1"/>
        <v>91040.144176136353</v>
      </c>
      <c r="O21" s="62">
        <f t="shared" si="2"/>
        <v>5690842.0041761361</v>
      </c>
    </row>
    <row r="22" spans="1:15" ht="18" customHeight="1" x14ac:dyDescent="0.3">
      <c r="A22" s="22" t="s">
        <v>55</v>
      </c>
      <c r="B22" s="59">
        <v>2240940</v>
      </c>
      <c r="C22" s="61"/>
      <c r="D22" s="61"/>
      <c r="E22" s="59">
        <v>3600</v>
      </c>
      <c r="F22" s="59">
        <v>17790.97</v>
      </c>
      <c r="G22" s="59">
        <v>2403034</v>
      </c>
      <c r="H22" s="61"/>
      <c r="I22" s="320">
        <f t="shared" si="0"/>
        <v>4665364.9700000007</v>
      </c>
      <c r="J22" s="59">
        <v>89982.145845170438</v>
      </c>
      <c r="K22" s="61"/>
      <c r="L22" s="59">
        <v>1057.9983309659092</v>
      </c>
      <c r="M22" s="482"/>
      <c r="N22" s="62">
        <f t="shared" si="1"/>
        <v>91040.144176136353</v>
      </c>
      <c r="O22" s="62">
        <f t="shared" si="2"/>
        <v>4756405.1141761374</v>
      </c>
    </row>
    <row r="23" spans="1:15" ht="18" customHeight="1" x14ac:dyDescent="0.3">
      <c r="A23" s="25" t="s">
        <v>56</v>
      </c>
      <c r="B23" s="59"/>
      <c r="C23" s="61"/>
      <c r="D23" s="61"/>
      <c r="E23" s="59"/>
      <c r="F23" s="59"/>
      <c r="G23" s="59"/>
      <c r="H23" s="61"/>
      <c r="I23" s="320"/>
      <c r="J23" s="59"/>
      <c r="K23" s="61"/>
      <c r="L23" s="59"/>
      <c r="M23" s="482"/>
      <c r="N23" s="62"/>
      <c r="O23" s="62"/>
    </row>
    <row r="24" spans="1:15" ht="18" customHeight="1" x14ac:dyDescent="0.3">
      <c r="A24" s="22" t="s">
        <v>57</v>
      </c>
      <c r="B24" s="59">
        <v>383587.25</v>
      </c>
      <c r="C24" s="59">
        <v>15800</v>
      </c>
      <c r="D24" s="59">
        <v>520087.33999999997</v>
      </c>
      <c r="E24" s="59">
        <v>203893.03000000003</v>
      </c>
      <c r="F24" s="59">
        <v>47536.420000000013</v>
      </c>
      <c r="G24" s="61"/>
      <c r="H24" s="61"/>
      <c r="I24" s="320">
        <f t="shared" si="0"/>
        <v>1170904.04</v>
      </c>
      <c r="J24" s="59">
        <v>629875.02091619314</v>
      </c>
      <c r="K24" s="59">
        <v>193.66560294117858</v>
      </c>
      <c r="L24" s="59">
        <v>7405.9883167613625</v>
      </c>
      <c r="M24" s="482"/>
      <c r="N24" s="62">
        <f t="shared" si="1"/>
        <v>637474.67483589565</v>
      </c>
      <c r="O24" s="62">
        <f t="shared" si="2"/>
        <v>1808378.7148358957</v>
      </c>
    </row>
    <row r="25" spans="1:15" ht="18" customHeight="1" x14ac:dyDescent="0.3">
      <c r="A25" s="22" t="s">
        <v>58</v>
      </c>
      <c r="B25" s="59">
        <v>417055878.57999992</v>
      </c>
      <c r="C25" s="59">
        <v>6713259.7999999998</v>
      </c>
      <c r="D25" s="59">
        <v>3377101.47</v>
      </c>
      <c r="E25" s="59">
        <v>167015462.00999999</v>
      </c>
      <c r="F25" s="59">
        <f>43090042.24+1838.53</f>
        <v>43091880.770000003</v>
      </c>
      <c r="G25" s="59">
        <v>136172.25</v>
      </c>
      <c r="H25" s="59">
        <v>60000000</v>
      </c>
      <c r="I25" s="320">
        <f t="shared" si="0"/>
        <v>697389754.87999988</v>
      </c>
      <c r="J25" s="59">
        <v>11427732.522336647</v>
      </c>
      <c r="K25" s="59">
        <v>3513.6473676470741</v>
      </c>
      <c r="L25" s="59">
        <v>195766.44803267045</v>
      </c>
      <c r="M25" s="481">
        <v>1449050.5827837614</v>
      </c>
      <c r="N25" s="62">
        <f t="shared" si="1"/>
        <v>13076063.200520724</v>
      </c>
      <c r="O25" s="62">
        <f t="shared" si="2"/>
        <v>710465818.08052063</v>
      </c>
    </row>
    <row r="26" spans="1:15" ht="18" customHeight="1" x14ac:dyDescent="0.3">
      <c r="A26" s="22" t="s">
        <v>59</v>
      </c>
      <c r="B26" s="59">
        <v>2523288.67</v>
      </c>
      <c r="C26" s="59">
        <v>15035631.58</v>
      </c>
      <c r="D26" s="59">
        <v>972234.13</v>
      </c>
      <c r="E26" s="59">
        <v>13965693.569999997</v>
      </c>
      <c r="F26" s="59">
        <f>955750.89+2</f>
        <v>955752.89</v>
      </c>
      <c r="G26" s="59">
        <v>46000000</v>
      </c>
      <c r="H26" s="59">
        <v>74750066.760000005</v>
      </c>
      <c r="I26" s="320">
        <f t="shared" si="0"/>
        <v>154202667.60000002</v>
      </c>
      <c r="J26" s="59">
        <v>5308946.6048650546</v>
      </c>
      <c r="K26" s="59">
        <v>1632.3243676471011</v>
      </c>
      <c r="L26" s="59">
        <v>1700207.3215269886</v>
      </c>
      <c r="M26" s="481">
        <v>13819801.137877455</v>
      </c>
      <c r="N26" s="62">
        <f t="shared" si="1"/>
        <v>20830587.388637144</v>
      </c>
      <c r="O26" s="62">
        <f t="shared" si="2"/>
        <v>175033254.98863718</v>
      </c>
    </row>
    <row r="27" spans="1:15" ht="18" customHeight="1" x14ac:dyDescent="0.3">
      <c r="A27" s="22" t="s">
        <v>60</v>
      </c>
      <c r="B27" s="59">
        <v>1344371.47</v>
      </c>
      <c r="C27" s="59">
        <v>29660962.350000001</v>
      </c>
      <c r="D27" s="59">
        <v>259922</v>
      </c>
      <c r="E27" s="59">
        <v>5554489</v>
      </c>
      <c r="F27" s="59">
        <f>436459.13+6</f>
        <v>436465.13</v>
      </c>
      <c r="G27" s="61"/>
      <c r="H27" s="59">
        <v>553415.4</v>
      </c>
      <c r="I27" s="320">
        <f t="shared" si="0"/>
        <v>37809625.350000001</v>
      </c>
      <c r="J27" s="59">
        <v>2789446.5212002839</v>
      </c>
      <c r="K27" s="59">
        <v>857.66195588236496</v>
      </c>
      <c r="L27" s="59">
        <v>32797.948259943179</v>
      </c>
      <c r="M27" s="481">
        <v>353705.26036454021</v>
      </c>
      <c r="N27" s="62">
        <f t="shared" si="1"/>
        <v>3176807.3917806498</v>
      </c>
      <c r="O27" s="62">
        <f t="shared" si="2"/>
        <v>40986432.741780654</v>
      </c>
    </row>
    <row r="28" spans="1:15" ht="18" customHeight="1" x14ac:dyDescent="0.3">
      <c r="A28" s="22" t="s">
        <v>61</v>
      </c>
      <c r="B28" s="59">
        <v>1573675.25</v>
      </c>
      <c r="C28" s="59">
        <v>2720340.99</v>
      </c>
      <c r="D28" s="59">
        <v>675315.83000000007</v>
      </c>
      <c r="E28" s="59">
        <v>57765118.769999973</v>
      </c>
      <c r="F28" s="59">
        <f>30934371.23+9</f>
        <v>30934380.23</v>
      </c>
      <c r="G28" s="61"/>
      <c r="H28" s="61"/>
      <c r="I28" s="320">
        <f t="shared" si="0"/>
        <v>93668831.069999978</v>
      </c>
      <c r="J28" s="59">
        <v>4139178.708877841</v>
      </c>
      <c r="K28" s="59">
        <v>1272.6596764705882</v>
      </c>
      <c r="L28" s="59">
        <v>48667.923224431819</v>
      </c>
      <c r="M28" s="482"/>
      <c r="N28" s="62">
        <f t="shared" si="1"/>
        <v>4189119.2917787437</v>
      </c>
      <c r="O28" s="62">
        <f t="shared" si="2"/>
        <v>97857950.361778721</v>
      </c>
    </row>
    <row r="29" spans="1:15" ht="18" customHeight="1" x14ac:dyDescent="0.3">
      <c r="A29" s="22" t="s">
        <v>62</v>
      </c>
      <c r="B29" s="59">
        <v>5209727.26</v>
      </c>
      <c r="C29" s="59">
        <v>3266227.45</v>
      </c>
      <c r="D29" s="59">
        <v>15399461.760000002</v>
      </c>
      <c r="E29" s="59">
        <v>27733421.109999999</v>
      </c>
      <c r="F29" s="59">
        <f>14955702.02+1680.02</f>
        <v>14957382.039999999</v>
      </c>
      <c r="G29" s="61"/>
      <c r="H29" s="61"/>
      <c r="I29" s="320">
        <f t="shared" si="0"/>
        <v>66566219.619999997</v>
      </c>
      <c r="J29" s="59">
        <v>13947232.60600142</v>
      </c>
      <c r="K29" s="59">
        <v>4288.3097794118112</v>
      </c>
      <c r="L29" s="59">
        <v>163989.74129971591</v>
      </c>
      <c r="M29" s="481">
        <v>1768526.301822701</v>
      </c>
      <c r="N29" s="62">
        <f t="shared" si="1"/>
        <v>15884036.958903249</v>
      </c>
      <c r="O29" s="62">
        <f t="shared" si="2"/>
        <v>82450256.578903243</v>
      </c>
    </row>
    <row r="30" spans="1:15" ht="18" customHeight="1" x14ac:dyDescent="0.3">
      <c r="A30" s="22" t="s">
        <v>63</v>
      </c>
      <c r="B30" s="59">
        <v>3874203.7699999996</v>
      </c>
      <c r="C30" s="59">
        <v>2313961.6</v>
      </c>
      <c r="D30" s="59">
        <v>1263280.43</v>
      </c>
      <c r="E30" s="59">
        <v>6047408.3399999999</v>
      </c>
      <c r="F30" s="59">
        <f>1662948.92+3</f>
        <v>1662951.92</v>
      </c>
      <c r="G30" s="61"/>
      <c r="H30" s="61"/>
      <c r="I30" s="320">
        <f t="shared" si="0"/>
        <v>15161806.059999999</v>
      </c>
      <c r="J30" s="59">
        <v>9988018.1888139192</v>
      </c>
      <c r="K30" s="59">
        <v>3070.9831323529688</v>
      </c>
      <c r="L30" s="59">
        <v>117437.8147372159</v>
      </c>
      <c r="M30" s="481">
        <v>1266493.0290472247</v>
      </c>
      <c r="N30" s="62">
        <f t="shared" si="1"/>
        <v>11375020.015730713</v>
      </c>
      <c r="O30" s="62">
        <f t="shared" si="2"/>
        <v>26536826.075730711</v>
      </c>
    </row>
    <row r="31" spans="1:15" ht="18" customHeight="1" x14ac:dyDescent="0.3">
      <c r="A31" s="22" t="s">
        <v>64</v>
      </c>
      <c r="B31" s="59">
        <v>1756517.5</v>
      </c>
      <c r="C31" s="59">
        <v>764714.36</v>
      </c>
      <c r="D31" s="59">
        <v>67451.100000000006</v>
      </c>
      <c r="E31" s="59">
        <v>2440219.7999999998</v>
      </c>
      <c r="F31" s="59">
        <f>670615.71+2</f>
        <v>670617.71</v>
      </c>
      <c r="G31" s="59">
        <v>359999942</v>
      </c>
      <c r="H31" s="61"/>
      <c r="I31" s="320">
        <f t="shared" si="0"/>
        <v>365699462.47000003</v>
      </c>
      <c r="J31" s="59">
        <v>3509303.6879616473</v>
      </c>
      <c r="K31" s="59">
        <v>1078.9940735294331</v>
      </c>
      <c r="L31" s="59">
        <v>41261.934907670446</v>
      </c>
      <c r="M31" s="481">
        <v>444984.03723280865</v>
      </c>
      <c r="N31" s="62">
        <f t="shared" si="1"/>
        <v>3996628.6541756559</v>
      </c>
      <c r="O31" s="62">
        <f t="shared" si="2"/>
        <v>369696091.12417567</v>
      </c>
    </row>
    <row r="32" spans="1:15" ht="18" customHeight="1" x14ac:dyDescent="0.3">
      <c r="A32" s="22" t="s">
        <v>65</v>
      </c>
      <c r="B32" s="59">
        <v>1295913.8500000001</v>
      </c>
      <c r="C32" s="59">
        <v>7089219</v>
      </c>
      <c r="D32" s="59">
        <v>597434.92999999993</v>
      </c>
      <c r="E32" s="59">
        <v>30908170.420000002</v>
      </c>
      <c r="F32" s="59">
        <f>11199277.2+11</f>
        <v>11199288.199999999</v>
      </c>
      <c r="G32" s="59">
        <v>47907000</v>
      </c>
      <c r="H32" s="59">
        <f>44683191.5+27372140.13</f>
        <v>72055331.629999995</v>
      </c>
      <c r="I32" s="320">
        <f t="shared" si="0"/>
        <v>171052358.03</v>
      </c>
      <c r="J32" s="59">
        <v>4499107.2922585225</v>
      </c>
      <c r="K32" s="59">
        <v>1383.3257352941291</v>
      </c>
      <c r="L32" s="59">
        <v>171633.28654829547</v>
      </c>
      <c r="M32" s="481">
        <v>12282188.234983843</v>
      </c>
      <c r="N32" s="62">
        <f t="shared" si="1"/>
        <v>16954312.139525954</v>
      </c>
      <c r="O32" s="62">
        <f t="shared" si="2"/>
        <v>188006670.16952595</v>
      </c>
    </row>
    <row r="33" spans="1:15" ht="18" customHeight="1" x14ac:dyDescent="0.3">
      <c r="A33" s="22" t="s">
        <v>66</v>
      </c>
      <c r="B33" s="59">
        <v>1058918.5</v>
      </c>
      <c r="C33" s="59">
        <v>1842582.47</v>
      </c>
      <c r="D33" s="59">
        <v>16909709.710000001</v>
      </c>
      <c r="E33" s="59">
        <v>9526135.6400000006</v>
      </c>
      <c r="F33" s="59">
        <f>2853884.56+2</f>
        <v>2853886.56</v>
      </c>
      <c r="G33" s="59">
        <v>93510345.099999994</v>
      </c>
      <c r="H33" s="61"/>
      <c r="I33" s="320">
        <f t="shared" si="0"/>
        <v>125701577.97999999</v>
      </c>
      <c r="J33" s="59">
        <v>2069589.3544389205</v>
      </c>
      <c r="K33" s="59">
        <v>636.32983823529412</v>
      </c>
      <c r="L33" s="59">
        <v>24333.96161221591</v>
      </c>
      <c r="M33" s="482"/>
      <c r="N33" s="62">
        <f t="shared" si="1"/>
        <v>2094559.6458893719</v>
      </c>
      <c r="O33" s="62">
        <f t="shared" si="2"/>
        <v>127796137.62588936</v>
      </c>
    </row>
    <row r="34" spans="1:15" ht="18" customHeight="1" x14ac:dyDescent="0.3">
      <c r="A34" s="22" t="s">
        <v>67</v>
      </c>
      <c r="B34" s="59">
        <v>662557</v>
      </c>
      <c r="C34" s="59">
        <v>702188</v>
      </c>
      <c r="D34" s="59">
        <v>5650</v>
      </c>
      <c r="E34" s="59">
        <v>161726.34</v>
      </c>
      <c r="F34" s="59">
        <f>43898.98+1</f>
        <v>43899.98</v>
      </c>
      <c r="G34" s="61"/>
      <c r="H34" s="61"/>
      <c r="I34" s="320">
        <f t="shared" si="0"/>
        <v>1576021.32</v>
      </c>
      <c r="J34" s="59">
        <v>629875.02091619314</v>
      </c>
      <c r="K34" s="59">
        <v>193.66560294117858</v>
      </c>
      <c r="L34" s="59">
        <v>7405.9883167613625</v>
      </c>
      <c r="M34" s="482"/>
      <c r="N34" s="62">
        <f t="shared" si="1"/>
        <v>637474.67483589565</v>
      </c>
      <c r="O34" s="62">
        <f t="shared" si="2"/>
        <v>2213495.9948358955</v>
      </c>
    </row>
    <row r="35" spans="1:15" ht="18" customHeight="1" x14ac:dyDescent="0.3">
      <c r="A35" s="22" t="s">
        <v>68</v>
      </c>
      <c r="B35" s="59">
        <v>2722449.7199999997</v>
      </c>
      <c r="C35" s="59">
        <v>2105672.11</v>
      </c>
      <c r="D35" s="59">
        <v>229642.09</v>
      </c>
      <c r="E35" s="59">
        <v>27302862.709999997</v>
      </c>
      <c r="F35" s="59">
        <f>6738443.49+1</f>
        <v>6738444.4900000002</v>
      </c>
      <c r="G35" s="61"/>
      <c r="H35" s="61"/>
      <c r="I35" s="320">
        <f t="shared" si="0"/>
        <v>39099071.119999997</v>
      </c>
      <c r="J35" s="59">
        <v>2249553.6461292612</v>
      </c>
      <c r="K35" s="59">
        <v>691.66286764706456</v>
      </c>
      <c r="L35" s="59">
        <v>26449.958274147728</v>
      </c>
      <c r="M35" s="482"/>
      <c r="N35" s="62">
        <f t="shared" si="1"/>
        <v>2276695.2672710563</v>
      </c>
      <c r="O35" s="62">
        <f t="shared" si="2"/>
        <v>41375766.387271054</v>
      </c>
    </row>
    <row r="36" spans="1:15" ht="18" customHeight="1" x14ac:dyDescent="0.3">
      <c r="A36" s="22" t="s">
        <v>69</v>
      </c>
      <c r="B36" s="59">
        <v>3146898.67</v>
      </c>
      <c r="C36" s="59">
        <v>1214698.5</v>
      </c>
      <c r="D36" s="59">
        <v>2654901</v>
      </c>
      <c r="E36" s="59">
        <v>7990706.9800000004</v>
      </c>
      <c r="F36" s="59">
        <v>4867242.2599999979</v>
      </c>
      <c r="G36" s="61"/>
      <c r="H36" s="59">
        <v>17276189.649999999</v>
      </c>
      <c r="I36" s="320">
        <f t="shared" si="0"/>
        <v>37150637.059999995</v>
      </c>
      <c r="J36" s="59">
        <v>2609482.2295099427</v>
      </c>
      <c r="K36" s="61"/>
      <c r="L36" s="59">
        <v>30681.951598011368</v>
      </c>
      <c r="M36" s="482"/>
      <c r="N36" s="62">
        <f t="shared" si="1"/>
        <v>2640164.1811079541</v>
      </c>
      <c r="O36" s="62">
        <f t="shared" si="2"/>
        <v>39790801.241107948</v>
      </c>
    </row>
    <row r="37" spans="1:15" x14ac:dyDescent="0.3">
      <c r="A37" s="28"/>
      <c r="B37" s="62">
        <f>SUM(B8:B36)</f>
        <v>503128336.31</v>
      </c>
      <c r="C37" s="62">
        <f t="shared" ref="C37:O37" si="3">SUM(C8:C36)</f>
        <v>171704290.64000002</v>
      </c>
      <c r="D37" s="62">
        <f t="shared" si="3"/>
        <v>89474347.580000013</v>
      </c>
      <c r="E37" s="62">
        <f t="shared" si="3"/>
        <v>473182671.18999994</v>
      </c>
      <c r="F37" s="62">
        <f t="shared" si="3"/>
        <v>181554110.65999997</v>
      </c>
      <c r="G37" s="62">
        <f t="shared" si="3"/>
        <v>559511298.35000002</v>
      </c>
      <c r="H37" s="62">
        <f t="shared" si="3"/>
        <v>732372280.91999996</v>
      </c>
      <c r="I37" s="62">
        <f>SUM(I8:I36)</f>
        <v>2710927335.6499996</v>
      </c>
      <c r="J37" s="62">
        <f t="shared" si="3"/>
        <v>126694861.34999999</v>
      </c>
      <c r="K37" s="62">
        <f t="shared" si="3"/>
        <v>18813.230000000189</v>
      </c>
      <c r="L37" s="62">
        <f t="shared" si="3"/>
        <v>3307581.1</v>
      </c>
      <c r="M37" s="483">
        <f t="shared" si="3"/>
        <v>199276530.45999995</v>
      </c>
      <c r="N37" s="483">
        <f t="shared" si="3"/>
        <v>329297786.13999999</v>
      </c>
      <c r="O37" s="62">
        <f t="shared" si="3"/>
        <v>3040225121.79</v>
      </c>
    </row>
  </sheetData>
  <mergeCells count="17">
    <mergeCell ref="L3:L5"/>
    <mergeCell ref="N3:N5"/>
    <mergeCell ref="O2:O5"/>
    <mergeCell ref="M3:M5"/>
    <mergeCell ref="J2:M2"/>
    <mergeCell ref="J3:J5"/>
    <mergeCell ref="K3:K5"/>
    <mergeCell ref="A2:A5"/>
    <mergeCell ref="B2:I2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19685039370078741" right="0.19685039370078741" top="0.35433070866141736" bottom="0.19685039370078741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"/>
  <sheetViews>
    <sheetView topLeftCell="A84" zoomScale="120" zoomScaleNormal="120" workbookViewId="0">
      <pane xSplit="2" topLeftCell="C1" activePane="topRight" state="frozen"/>
      <selection activeCell="A13" sqref="A13"/>
      <selection pane="topRight" activeCell="B1" sqref="B1:K100"/>
    </sheetView>
  </sheetViews>
  <sheetFormatPr defaultRowHeight="18.75" x14ac:dyDescent="0.3"/>
  <cols>
    <col min="1" max="1" width="5.28515625" style="23" hidden="1" customWidth="1"/>
    <col min="2" max="2" width="40" style="23" customWidth="1"/>
    <col min="3" max="3" width="12.5703125" style="46" hidden="1" customWidth="1"/>
    <col min="4" max="4" width="15.140625" style="46" bestFit="1" customWidth="1"/>
    <col min="5" max="5" width="16.42578125" style="46" bestFit="1" customWidth="1"/>
    <col min="6" max="6" width="13.140625" style="46" bestFit="1" customWidth="1"/>
    <col min="7" max="7" width="13.42578125" style="46" bestFit="1" customWidth="1"/>
    <col min="8" max="8" width="14.28515625" style="46" bestFit="1" customWidth="1"/>
    <col min="9" max="9" width="7.42578125" style="23" bestFit="1" customWidth="1"/>
    <col min="10" max="10" width="8.85546875" style="50" bestFit="1" customWidth="1"/>
    <col min="11" max="11" width="12" style="23" bestFit="1" customWidth="1"/>
    <col min="12" max="258" width="9.140625" style="23"/>
    <col min="259" max="263" width="13.85546875" style="23" customWidth="1"/>
    <col min="264" max="514" width="9.140625" style="23"/>
    <col min="515" max="519" width="13.85546875" style="23" customWidth="1"/>
    <col min="520" max="770" width="9.140625" style="23"/>
    <col min="771" max="775" width="13.85546875" style="23" customWidth="1"/>
    <col min="776" max="1026" width="9.140625" style="23"/>
    <col min="1027" max="1031" width="13.85546875" style="23" customWidth="1"/>
    <col min="1032" max="1282" width="9.140625" style="23"/>
    <col min="1283" max="1287" width="13.85546875" style="23" customWidth="1"/>
    <col min="1288" max="1538" width="9.140625" style="23"/>
    <col min="1539" max="1543" width="13.85546875" style="23" customWidth="1"/>
    <col min="1544" max="1794" width="9.140625" style="23"/>
    <col min="1795" max="1799" width="13.85546875" style="23" customWidth="1"/>
    <col min="1800" max="2050" width="9.140625" style="23"/>
    <col min="2051" max="2055" width="13.85546875" style="23" customWidth="1"/>
    <col min="2056" max="2306" width="9.140625" style="23"/>
    <col min="2307" max="2311" width="13.85546875" style="23" customWidth="1"/>
    <col min="2312" max="2562" width="9.140625" style="23"/>
    <col min="2563" max="2567" width="13.85546875" style="23" customWidth="1"/>
    <col min="2568" max="2818" width="9.140625" style="23"/>
    <col min="2819" max="2823" width="13.85546875" style="23" customWidth="1"/>
    <col min="2824" max="3074" width="9.140625" style="23"/>
    <col min="3075" max="3079" width="13.85546875" style="23" customWidth="1"/>
    <col min="3080" max="3330" width="9.140625" style="23"/>
    <col min="3331" max="3335" width="13.85546875" style="23" customWidth="1"/>
    <col min="3336" max="3586" width="9.140625" style="23"/>
    <col min="3587" max="3591" width="13.85546875" style="23" customWidth="1"/>
    <col min="3592" max="3842" width="9.140625" style="23"/>
    <col min="3843" max="3847" width="13.85546875" style="23" customWidth="1"/>
    <col min="3848" max="4098" width="9.140625" style="23"/>
    <col min="4099" max="4103" width="13.85546875" style="23" customWidth="1"/>
    <col min="4104" max="4354" width="9.140625" style="23"/>
    <col min="4355" max="4359" width="13.85546875" style="23" customWidth="1"/>
    <col min="4360" max="4610" width="9.140625" style="23"/>
    <col min="4611" max="4615" width="13.85546875" style="23" customWidth="1"/>
    <col min="4616" max="4866" width="9.140625" style="23"/>
    <col min="4867" max="4871" width="13.85546875" style="23" customWidth="1"/>
    <col min="4872" max="5122" width="9.140625" style="23"/>
    <col min="5123" max="5127" width="13.85546875" style="23" customWidth="1"/>
    <col min="5128" max="5378" width="9.140625" style="23"/>
    <col min="5379" max="5383" width="13.85546875" style="23" customWidth="1"/>
    <col min="5384" max="5634" width="9.140625" style="23"/>
    <col min="5635" max="5639" width="13.85546875" style="23" customWidth="1"/>
    <col min="5640" max="5890" width="9.140625" style="23"/>
    <col min="5891" max="5895" width="13.85546875" style="23" customWidth="1"/>
    <col min="5896" max="6146" width="9.140625" style="23"/>
    <col min="6147" max="6151" width="13.85546875" style="23" customWidth="1"/>
    <col min="6152" max="6402" width="9.140625" style="23"/>
    <col min="6403" max="6407" width="13.85546875" style="23" customWidth="1"/>
    <col min="6408" max="6658" width="9.140625" style="23"/>
    <col min="6659" max="6663" width="13.85546875" style="23" customWidth="1"/>
    <col min="6664" max="6914" width="9.140625" style="23"/>
    <col min="6915" max="6919" width="13.85546875" style="23" customWidth="1"/>
    <col min="6920" max="7170" width="9.140625" style="23"/>
    <col min="7171" max="7175" width="13.85546875" style="23" customWidth="1"/>
    <col min="7176" max="7426" width="9.140625" style="23"/>
    <col min="7427" max="7431" width="13.85546875" style="23" customWidth="1"/>
    <col min="7432" max="7682" width="9.140625" style="23"/>
    <col min="7683" max="7687" width="13.85546875" style="23" customWidth="1"/>
    <col min="7688" max="7938" width="9.140625" style="23"/>
    <col min="7939" max="7943" width="13.85546875" style="23" customWidth="1"/>
    <col min="7944" max="8194" width="9.140625" style="23"/>
    <col min="8195" max="8199" width="13.85546875" style="23" customWidth="1"/>
    <col min="8200" max="8450" width="9.140625" style="23"/>
    <col min="8451" max="8455" width="13.85546875" style="23" customWidth="1"/>
    <col min="8456" max="8706" width="9.140625" style="23"/>
    <col min="8707" max="8711" width="13.85546875" style="23" customWidth="1"/>
    <col min="8712" max="8962" width="9.140625" style="23"/>
    <col min="8963" max="8967" width="13.85546875" style="23" customWidth="1"/>
    <col min="8968" max="9218" width="9.140625" style="23"/>
    <col min="9219" max="9223" width="13.85546875" style="23" customWidth="1"/>
    <col min="9224" max="9474" width="9.140625" style="23"/>
    <col min="9475" max="9479" width="13.85546875" style="23" customWidth="1"/>
    <col min="9480" max="9730" width="9.140625" style="23"/>
    <col min="9731" max="9735" width="13.85546875" style="23" customWidth="1"/>
    <col min="9736" max="9986" width="9.140625" style="23"/>
    <col min="9987" max="9991" width="13.85546875" style="23" customWidth="1"/>
    <col min="9992" max="10242" width="9.140625" style="23"/>
    <col min="10243" max="10247" width="13.85546875" style="23" customWidth="1"/>
    <col min="10248" max="10498" width="9.140625" style="23"/>
    <col min="10499" max="10503" width="13.85546875" style="23" customWidth="1"/>
    <col min="10504" max="10754" width="9.140625" style="23"/>
    <col min="10755" max="10759" width="13.85546875" style="23" customWidth="1"/>
    <col min="10760" max="11010" width="9.140625" style="23"/>
    <col min="11011" max="11015" width="13.85546875" style="23" customWidth="1"/>
    <col min="11016" max="11266" width="9.140625" style="23"/>
    <col min="11267" max="11271" width="13.85546875" style="23" customWidth="1"/>
    <col min="11272" max="11522" width="9.140625" style="23"/>
    <col min="11523" max="11527" width="13.85546875" style="23" customWidth="1"/>
    <col min="11528" max="11778" width="9.140625" style="23"/>
    <col min="11779" max="11783" width="13.85546875" style="23" customWidth="1"/>
    <col min="11784" max="12034" width="9.140625" style="23"/>
    <col min="12035" max="12039" width="13.85546875" style="23" customWidth="1"/>
    <col min="12040" max="12290" width="9.140625" style="23"/>
    <col min="12291" max="12295" width="13.85546875" style="23" customWidth="1"/>
    <col min="12296" max="12546" width="9.140625" style="23"/>
    <col min="12547" max="12551" width="13.85546875" style="23" customWidth="1"/>
    <col min="12552" max="12802" width="9.140625" style="23"/>
    <col min="12803" max="12807" width="13.85546875" style="23" customWidth="1"/>
    <col min="12808" max="13058" width="9.140625" style="23"/>
    <col min="13059" max="13063" width="13.85546875" style="23" customWidth="1"/>
    <col min="13064" max="13314" width="9.140625" style="23"/>
    <col min="13315" max="13319" width="13.85546875" style="23" customWidth="1"/>
    <col min="13320" max="13570" width="9.140625" style="23"/>
    <col min="13571" max="13575" width="13.85546875" style="23" customWidth="1"/>
    <col min="13576" max="13826" width="9.140625" style="23"/>
    <col min="13827" max="13831" width="13.85546875" style="23" customWidth="1"/>
    <col min="13832" max="14082" width="9.140625" style="23"/>
    <col min="14083" max="14087" width="13.85546875" style="23" customWidth="1"/>
    <col min="14088" max="14338" width="9.140625" style="23"/>
    <col min="14339" max="14343" width="13.85546875" style="23" customWidth="1"/>
    <col min="14344" max="14594" width="9.140625" style="23"/>
    <col min="14595" max="14599" width="13.85546875" style="23" customWidth="1"/>
    <col min="14600" max="14850" width="9.140625" style="23"/>
    <col min="14851" max="14855" width="13.85546875" style="23" customWidth="1"/>
    <col min="14856" max="15106" width="9.140625" style="23"/>
    <col min="15107" max="15111" width="13.85546875" style="23" customWidth="1"/>
    <col min="15112" max="15362" width="9.140625" style="23"/>
    <col min="15363" max="15367" width="13.85546875" style="23" customWidth="1"/>
    <col min="15368" max="15618" width="9.140625" style="23"/>
    <col min="15619" max="15623" width="13.85546875" style="23" customWidth="1"/>
    <col min="15624" max="15874" width="9.140625" style="23"/>
    <col min="15875" max="15879" width="13.85546875" style="23" customWidth="1"/>
    <col min="15880" max="16130" width="9.140625" style="23"/>
    <col min="16131" max="16135" width="13.85546875" style="23" customWidth="1"/>
    <col min="16136" max="16384" width="9.140625" style="23"/>
  </cols>
  <sheetData>
    <row r="1" spans="1:12" ht="21" x14ac:dyDescent="0.35">
      <c r="B1" s="40" t="s">
        <v>184</v>
      </c>
    </row>
    <row r="2" spans="1:12" ht="21" x14ac:dyDescent="0.35">
      <c r="B2" s="40"/>
      <c r="K2" s="37" t="s">
        <v>240</v>
      </c>
    </row>
    <row r="3" spans="1:12" s="37" customFormat="1" ht="18" customHeight="1" x14ac:dyDescent="0.3">
      <c r="A3" s="38" t="s">
        <v>179</v>
      </c>
      <c r="B3" s="38" t="s">
        <v>174</v>
      </c>
      <c r="C3" s="47" t="s">
        <v>180</v>
      </c>
      <c r="D3" s="48" t="s">
        <v>175</v>
      </c>
      <c r="E3" s="48" t="s">
        <v>176</v>
      </c>
      <c r="F3" s="48" t="s">
        <v>0</v>
      </c>
      <c r="G3" s="48" t="s">
        <v>177</v>
      </c>
      <c r="H3" s="48" t="s">
        <v>178</v>
      </c>
      <c r="I3" s="38" t="s">
        <v>181</v>
      </c>
      <c r="J3" s="38" t="s">
        <v>182</v>
      </c>
      <c r="K3" s="38" t="s">
        <v>183</v>
      </c>
    </row>
    <row r="4" spans="1:12" s="37" customFormat="1" ht="18" customHeight="1" x14ac:dyDescent="0.3">
      <c r="A4" s="38"/>
      <c r="B4" s="25" t="s">
        <v>185</v>
      </c>
      <c r="C4" s="47"/>
      <c r="D4" s="48"/>
      <c r="E4" s="48"/>
      <c r="F4" s="48"/>
      <c r="G4" s="48"/>
      <c r="H4" s="48"/>
      <c r="I4" s="38"/>
      <c r="J4" s="38"/>
      <c r="K4" s="38"/>
    </row>
    <row r="5" spans="1:12" x14ac:dyDescent="0.3">
      <c r="A5" s="39" t="s">
        <v>81</v>
      </c>
      <c r="B5" s="484" t="s">
        <v>340</v>
      </c>
      <c r="C5" s="45"/>
      <c r="D5" s="42">
        <v>24805.4688555662</v>
      </c>
      <c r="E5" s="42">
        <v>2207.0245384790228</v>
      </c>
      <c r="F5" s="42">
        <v>7647.1218911319111</v>
      </c>
      <c r="G5" s="42">
        <v>1745.723019501781</v>
      </c>
      <c r="H5" s="43">
        <f>SUM(D5:G5)</f>
        <v>36405.338304678917</v>
      </c>
      <c r="I5" s="44">
        <v>3</v>
      </c>
      <c r="J5" s="51" t="s">
        <v>222</v>
      </c>
      <c r="K5" s="43">
        <f>SUM(H5/I5)</f>
        <v>12135.112768226305</v>
      </c>
    </row>
    <row r="6" spans="1:12" x14ac:dyDescent="0.3">
      <c r="A6" s="39" t="s">
        <v>82</v>
      </c>
      <c r="B6" s="485" t="s">
        <v>341</v>
      </c>
      <c r="C6" s="45"/>
      <c r="D6" s="42">
        <v>6859570.4864653461</v>
      </c>
      <c r="E6" s="42">
        <v>827033.74092776119</v>
      </c>
      <c r="F6" s="42">
        <v>2865590.1711504743</v>
      </c>
      <c r="G6" s="42">
        <v>654171.17674515955</v>
      </c>
      <c r="H6" s="43">
        <f t="shared" ref="H6:H69" si="0">SUM(D6:G6)</f>
        <v>11206365.575288741</v>
      </c>
      <c r="I6" s="44">
        <v>53730</v>
      </c>
      <c r="J6" s="51" t="s">
        <v>575</v>
      </c>
      <c r="K6" s="43">
        <f t="shared" ref="K6:K69" si="1">SUM(H6/I6)</f>
        <v>208.56812907665625</v>
      </c>
    </row>
    <row r="7" spans="1:12" x14ac:dyDescent="0.3">
      <c r="A7" s="39" t="s">
        <v>83</v>
      </c>
      <c r="B7" s="485" t="s">
        <v>342</v>
      </c>
      <c r="C7" s="45"/>
      <c r="D7" s="42">
        <v>24451362.845024545</v>
      </c>
      <c r="E7" s="42">
        <v>14618840.106919086</v>
      </c>
      <c r="F7" s="42">
        <v>2837241.7333967537</v>
      </c>
      <c r="G7" s="42">
        <v>3661629.7519108029</v>
      </c>
      <c r="H7" s="43">
        <f t="shared" si="0"/>
        <v>45569074.437251188</v>
      </c>
      <c r="I7" s="44">
        <v>120248</v>
      </c>
      <c r="J7" s="51" t="s">
        <v>224</v>
      </c>
      <c r="K7" s="43">
        <f t="shared" si="1"/>
        <v>378.95910482711719</v>
      </c>
    </row>
    <row r="8" spans="1:12" x14ac:dyDescent="0.3">
      <c r="A8" s="39" t="s">
        <v>84</v>
      </c>
      <c r="B8" s="485" t="s">
        <v>343</v>
      </c>
      <c r="C8" s="45"/>
      <c r="D8" s="42">
        <v>357506.06944409903</v>
      </c>
      <c r="E8" s="42">
        <v>190700.11937159876</v>
      </c>
      <c r="F8" s="42">
        <v>23514.647227196663</v>
      </c>
      <c r="G8" s="42">
        <v>79644.809865991061</v>
      </c>
      <c r="H8" s="43">
        <f t="shared" si="0"/>
        <v>651365.64590888564</v>
      </c>
      <c r="I8" s="44">
        <v>1</v>
      </c>
      <c r="J8" s="51" t="s">
        <v>222</v>
      </c>
      <c r="K8" s="43">
        <f t="shared" si="1"/>
        <v>651365.64590888564</v>
      </c>
    </row>
    <row r="9" spans="1:12" x14ac:dyDescent="0.3">
      <c r="A9" s="39" t="s">
        <v>85</v>
      </c>
      <c r="B9" s="485" t="s">
        <v>344</v>
      </c>
      <c r="C9" s="42">
        <v>126000</v>
      </c>
      <c r="D9" s="42">
        <f>569390.345390407+C9</f>
        <v>695390.34539040702</v>
      </c>
      <c r="E9" s="42">
        <v>314247.35292048205</v>
      </c>
      <c r="F9" s="42">
        <v>37242.484412758742</v>
      </c>
      <c r="G9" s="42">
        <v>126742.45198384603</v>
      </c>
      <c r="H9" s="43">
        <f t="shared" si="0"/>
        <v>1173622.6347074937</v>
      </c>
      <c r="I9" s="44">
        <v>2</v>
      </c>
      <c r="J9" s="51" t="s">
        <v>222</v>
      </c>
      <c r="K9" s="43">
        <f t="shared" si="1"/>
        <v>586811.31735374685</v>
      </c>
    </row>
    <row r="10" spans="1:12" x14ac:dyDescent="0.3">
      <c r="A10" s="39" t="s">
        <v>86</v>
      </c>
      <c r="B10" s="485" t="s">
        <v>345</v>
      </c>
      <c r="C10" s="42">
        <v>200000</v>
      </c>
      <c r="D10" s="42">
        <f>20442.4407086222+C10</f>
        <v>220442.44070862219</v>
      </c>
      <c r="E10" s="42">
        <v>14748.767511110636</v>
      </c>
      <c r="F10" s="42">
        <v>1316.2143652190177</v>
      </c>
      <c r="G10" s="42">
        <v>816.86473965758614</v>
      </c>
      <c r="H10" s="43">
        <f t="shared" si="0"/>
        <v>237324.28732460944</v>
      </c>
      <c r="I10" s="44">
        <v>1</v>
      </c>
      <c r="J10" s="51" t="s">
        <v>222</v>
      </c>
      <c r="K10" s="43">
        <f t="shared" si="1"/>
        <v>237324.28732460944</v>
      </c>
    </row>
    <row r="11" spans="1:12" x14ac:dyDescent="0.3">
      <c r="A11" s="39" t="s">
        <v>87</v>
      </c>
      <c r="B11" s="485" t="s">
        <v>346</v>
      </c>
      <c r="C11" s="45"/>
      <c r="D11" s="42">
        <v>271783.17517914088</v>
      </c>
      <c r="E11" s="42">
        <v>33459.971031046982</v>
      </c>
      <c r="F11" s="42">
        <v>115935.49255437557</v>
      </c>
      <c r="G11" s="42">
        <v>26466.330864185198</v>
      </c>
      <c r="H11" s="43">
        <f t="shared" si="0"/>
        <v>447644.9696287486</v>
      </c>
      <c r="I11" s="44">
        <v>1</v>
      </c>
      <c r="J11" s="51" t="s">
        <v>222</v>
      </c>
      <c r="K11" s="43">
        <f t="shared" si="1"/>
        <v>447644.9696287486</v>
      </c>
    </row>
    <row r="12" spans="1:12" x14ac:dyDescent="0.3">
      <c r="A12" s="39" t="s">
        <v>88</v>
      </c>
      <c r="B12" s="485" t="s">
        <v>347</v>
      </c>
      <c r="C12" s="45"/>
      <c r="D12" s="42">
        <v>10310.589269155475</v>
      </c>
      <c r="E12" s="42">
        <v>1243.1106628708542</v>
      </c>
      <c r="F12" s="42">
        <v>4307.2555820745183</v>
      </c>
      <c r="G12" s="42">
        <v>983.28172710635886</v>
      </c>
      <c r="H12" s="43">
        <f t="shared" si="0"/>
        <v>16844.237241207207</v>
      </c>
      <c r="I12" s="44">
        <v>1</v>
      </c>
      <c r="J12" s="51" t="s">
        <v>222</v>
      </c>
      <c r="K12" s="43">
        <f t="shared" si="1"/>
        <v>16844.237241207207</v>
      </c>
    </row>
    <row r="13" spans="1:12" x14ac:dyDescent="0.3">
      <c r="A13" s="39" t="s">
        <v>89</v>
      </c>
      <c r="B13" s="485" t="s">
        <v>348</v>
      </c>
      <c r="C13" s="45"/>
      <c r="D13" s="42">
        <v>23852819.785921242</v>
      </c>
      <c r="E13" s="42">
        <v>662123.93870129762</v>
      </c>
      <c r="F13" s="42">
        <v>1496804.4064537955</v>
      </c>
      <c r="G13" s="42">
        <v>444260.83601576957</v>
      </c>
      <c r="H13" s="43">
        <f t="shared" si="0"/>
        <v>26456008.967092104</v>
      </c>
      <c r="I13" s="44">
        <v>740</v>
      </c>
      <c r="J13" s="51" t="s">
        <v>224</v>
      </c>
      <c r="K13" s="43">
        <f t="shared" si="1"/>
        <v>35751.363469043383</v>
      </c>
    </row>
    <row r="14" spans="1:12" x14ac:dyDescent="0.3">
      <c r="A14" s="39" t="s">
        <v>90</v>
      </c>
      <c r="B14" s="485" t="s">
        <v>349</v>
      </c>
      <c r="C14" s="45"/>
      <c r="D14" s="42">
        <v>2241032.9648720836</v>
      </c>
      <c r="E14" s="42">
        <v>724773.9651581872</v>
      </c>
      <c r="F14" s="42">
        <v>608682.30887943076</v>
      </c>
      <c r="G14" s="42">
        <v>299502.75779361656</v>
      </c>
      <c r="H14" s="43">
        <f t="shared" si="0"/>
        <v>3873991.9967033183</v>
      </c>
      <c r="I14" s="44">
        <v>135</v>
      </c>
      <c r="J14" s="51" t="s">
        <v>222</v>
      </c>
      <c r="K14" s="43">
        <f t="shared" si="1"/>
        <v>28696.237012617174</v>
      </c>
    </row>
    <row r="15" spans="1:12" ht="21" x14ac:dyDescent="0.35">
      <c r="A15" s="468" t="s">
        <v>91</v>
      </c>
      <c r="B15" s="486" t="s">
        <v>350</v>
      </c>
      <c r="C15" s="129"/>
      <c r="D15" s="469">
        <v>249715.94836645623</v>
      </c>
      <c r="E15" s="469">
        <v>142809.63555517554</v>
      </c>
      <c r="F15" s="469">
        <v>16234.376957808416</v>
      </c>
      <c r="G15" s="469">
        <v>55534.957624071503</v>
      </c>
      <c r="H15" s="165">
        <f t="shared" si="0"/>
        <v>464294.9185035117</v>
      </c>
      <c r="I15" s="175">
        <v>1</v>
      </c>
      <c r="J15" s="470" t="s">
        <v>222</v>
      </c>
      <c r="K15" s="165">
        <f t="shared" si="1"/>
        <v>464294.9185035117</v>
      </c>
      <c r="L15" s="400"/>
    </row>
    <row r="16" spans="1:12" ht="21" x14ac:dyDescent="0.35">
      <c r="A16" s="468" t="s">
        <v>92</v>
      </c>
      <c r="B16" s="486" t="s">
        <v>351</v>
      </c>
      <c r="C16" s="129"/>
      <c r="D16" s="469">
        <v>46000</v>
      </c>
      <c r="E16" s="469">
        <v>0</v>
      </c>
      <c r="F16" s="469">
        <v>0</v>
      </c>
      <c r="G16" s="469">
        <v>0</v>
      </c>
      <c r="H16" s="165">
        <f t="shared" si="0"/>
        <v>46000</v>
      </c>
      <c r="I16" s="175">
        <v>1</v>
      </c>
      <c r="J16" s="470" t="s">
        <v>222</v>
      </c>
      <c r="K16" s="165">
        <f t="shared" si="1"/>
        <v>46000</v>
      </c>
      <c r="L16" s="400"/>
    </row>
    <row r="17" spans="1:12" ht="21" x14ac:dyDescent="0.35">
      <c r="A17" s="468" t="s">
        <v>93</v>
      </c>
      <c r="B17" s="486" t="s">
        <v>352</v>
      </c>
      <c r="C17" s="129"/>
      <c r="D17" s="469">
        <v>192878.12136359469</v>
      </c>
      <c r="E17" s="469">
        <v>138268.39167002626</v>
      </c>
      <c r="F17" s="469">
        <v>16590.459714380511</v>
      </c>
      <c r="G17" s="469">
        <v>63275.095245435827</v>
      </c>
      <c r="H17" s="165">
        <f t="shared" si="0"/>
        <v>411012.06799343729</v>
      </c>
      <c r="I17" s="175">
        <v>18</v>
      </c>
      <c r="J17" s="470" t="s">
        <v>222</v>
      </c>
      <c r="K17" s="165">
        <f t="shared" si="1"/>
        <v>22834.003777413182</v>
      </c>
      <c r="L17" s="400"/>
    </row>
    <row r="18" spans="1:12" ht="21" x14ac:dyDescent="0.35">
      <c r="A18" s="468" t="s">
        <v>94</v>
      </c>
      <c r="B18" s="486" t="s">
        <v>353</v>
      </c>
      <c r="C18" s="469">
        <v>21023452.5</v>
      </c>
      <c r="D18" s="469">
        <f>15880308.0503257+C18</f>
        <v>36903760.550325699</v>
      </c>
      <c r="E18" s="469">
        <v>100626946.79569757</v>
      </c>
      <c r="F18" s="469">
        <v>42613379.670831211</v>
      </c>
      <c r="G18" s="469">
        <v>31495970.807224076</v>
      </c>
      <c r="H18" s="165">
        <f t="shared" si="0"/>
        <v>211640057.82407853</v>
      </c>
      <c r="I18" s="175">
        <v>928</v>
      </c>
      <c r="J18" s="470" t="s">
        <v>222</v>
      </c>
      <c r="K18" s="165">
        <f t="shared" si="1"/>
        <v>228060.40713801567</v>
      </c>
      <c r="L18" s="400"/>
    </row>
    <row r="19" spans="1:12" ht="21" x14ac:dyDescent="0.35">
      <c r="A19" s="468" t="s">
        <v>95</v>
      </c>
      <c r="B19" s="486" t="s">
        <v>354</v>
      </c>
      <c r="C19" s="129"/>
      <c r="D19" s="469">
        <v>7544014.6470125038</v>
      </c>
      <c r="E19" s="469">
        <v>3282353.5551955765</v>
      </c>
      <c r="F19" s="469">
        <v>1523726.3666781595</v>
      </c>
      <c r="G19" s="469">
        <v>859793.54080653435</v>
      </c>
      <c r="H19" s="165">
        <f t="shared" si="0"/>
        <v>13209888.109692773</v>
      </c>
      <c r="I19" s="175">
        <v>47</v>
      </c>
      <c r="J19" s="470" t="s">
        <v>222</v>
      </c>
      <c r="K19" s="165">
        <f t="shared" si="1"/>
        <v>281061.44914239942</v>
      </c>
      <c r="L19" s="400"/>
    </row>
    <row r="20" spans="1:12" ht="21" x14ac:dyDescent="0.35">
      <c r="A20" s="468" t="s">
        <v>96</v>
      </c>
      <c r="B20" s="486" t="s">
        <v>355</v>
      </c>
      <c r="C20" s="129"/>
      <c r="D20" s="469">
        <v>740625.89649682317</v>
      </c>
      <c r="E20" s="469">
        <v>89294.600444199255</v>
      </c>
      <c r="F20" s="469">
        <v>309396.96496863558</v>
      </c>
      <c r="G20" s="469">
        <v>70630.677998750412</v>
      </c>
      <c r="H20" s="165">
        <f t="shared" si="0"/>
        <v>1209948.1399084085</v>
      </c>
      <c r="I20" s="175">
        <v>1</v>
      </c>
      <c r="J20" s="470" t="s">
        <v>222</v>
      </c>
      <c r="K20" s="165">
        <f t="shared" si="1"/>
        <v>1209948.1399084085</v>
      </c>
      <c r="L20" s="400"/>
    </row>
    <row r="21" spans="1:12" x14ac:dyDescent="0.3">
      <c r="A21" s="468" t="s">
        <v>97</v>
      </c>
      <c r="B21" s="486" t="s">
        <v>356</v>
      </c>
      <c r="C21" s="129"/>
      <c r="D21" s="469">
        <v>353842.04835340468</v>
      </c>
      <c r="E21" s="469">
        <v>42661.463064584896</v>
      </c>
      <c r="F21" s="469">
        <v>147817.75300682883</v>
      </c>
      <c r="G21" s="469">
        <v>33744.571851836125</v>
      </c>
      <c r="H21" s="165">
        <f t="shared" si="0"/>
        <v>578065.8362766545</v>
      </c>
      <c r="I21" s="471">
        <v>1048</v>
      </c>
      <c r="J21" s="470" t="s">
        <v>225</v>
      </c>
      <c r="K21" s="165">
        <f t="shared" si="1"/>
        <v>551.58953843192228</v>
      </c>
    </row>
    <row r="22" spans="1:12" x14ac:dyDescent="0.3">
      <c r="A22" s="468" t="s">
        <v>98</v>
      </c>
      <c r="B22" s="486" t="s">
        <v>357</v>
      </c>
      <c r="C22" s="469">
        <v>1805099.82</v>
      </c>
      <c r="D22" s="469">
        <f>5256555.69834341+C22</f>
        <v>7061655.5183434105</v>
      </c>
      <c r="E22" s="469">
        <v>857957.30067651987</v>
      </c>
      <c r="F22" s="469">
        <v>2972737.249301869</v>
      </c>
      <c r="G22" s="469">
        <v>678631.24465883581</v>
      </c>
      <c r="H22" s="165">
        <f t="shared" si="0"/>
        <v>11570981.312980635</v>
      </c>
      <c r="I22" s="471">
        <v>22206</v>
      </c>
      <c r="J22" s="470" t="s">
        <v>225</v>
      </c>
      <c r="K22" s="165">
        <f t="shared" si="1"/>
        <v>521.07454350088426</v>
      </c>
    </row>
    <row r="23" spans="1:12" x14ac:dyDescent="0.3">
      <c r="A23" s="468" t="s">
        <v>99</v>
      </c>
      <c r="B23" s="486" t="s">
        <v>358</v>
      </c>
      <c r="C23" s="129"/>
      <c r="D23" s="469">
        <v>45865872.898430601</v>
      </c>
      <c r="E23" s="469">
        <v>142298.10412007602</v>
      </c>
      <c r="F23" s="469">
        <v>493048.86652194517</v>
      </c>
      <c r="G23" s="469">
        <v>112555.64750769491</v>
      </c>
      <c r="H23" s="165">
        <f t="shared" si="0"/>
        <v>46613775.516580321</v>
      </c>
      <c r="I23" s="471">
        <v>14</v>
      </c>
      <c r="J23" s="470" t="s">
        <v>222</v>
      </c>
      <c r="K23" s="165">
        <f t="shared" si="1"/>
        <v>3329555.3940414516</v>
      </c>
    </row>
    <row r="24" spans="1:12" x14ac:dyDescent="0.3">
      <c r="A24" s="468" t="s">
        <v>100</v>
      </c>
      <c r="B24" s="486" t="s">
        <v>359</v>
      </c>
      <c r="C24" s="129"/>
      <c r="D24" s="469">
        <v>456413.32761642669</v>
      </c>
      <c r="E24" s="469">
        <v>203191.41888922377</v>
      </c>
      <c r="F24" s="469">
        <v>64350.330178702046</v>
      </c>
      <c r="G24" s="469">
        <v>89252.021814784923</v>
      </c>
      <c r="H24" s="165">
        <f t="shared" si="0"/>
        <v>813207.09849913744</v>
      </c>
      <c r="I24" s="471">
        <v>100000</v>
      </c>
      <c r="J24" s="470" t="s">
        <v>227</v>
      </c>
      <c r="K24" s="165">
        <f t="shared" si="1"/>
        <v>8.1320709849913744</v>
      </c>
    </row>
    <row r="25" spans="1:12" x14ac:dyDescent="0.3">
      <c r="A25" s="468" t="s">
        <v>101</v>
      </c>
      <c r="B25" s="486" t="s">
        <v>360</v>
      </c>
      <c r="C25" s="129"/>
      <c r="D25" s="469">
        <v>300187.56781877077</v>
      </c>
      <c r="E25" s="469">
        <v>36192.535331915817</v>
      </c>
      <c r="F25" s="469">
        <v>125403.55777964956</v>
      </c>
      <c r="G25" s="469">
        <v>28627.74788476032</v>
      </c>
      <c r="H25" s="165">
        <f t="shared" si="0"/>
        <v>490411.40881509648</v>
      </c>
      <c r="I25" s="471">
        <v>1</v>
      </c>
      <c r="J25" s="470" t="s">
        <v>222</v>
      </c>
      <c r="K25" s="165">
        <f t="shared" si="1"/>
        <v>490411.40881509648</v>
      </c>
    </row>
    <row r="26" spans="1:12" x14ac:dyDescent="0.3">
      <c r="A26" s="468" t="s">
        <v>102</v>
      </c>
      <c r="B26" s="486" t="s">
        <v>361</v>
      </c>
      <c r="C26" s="469">
        <v>6270990.1299999999</v>
      </c>
      <c r="D26" s="469">
        <f>2565396.96033708+C26</f>
        <v>8836387.090337079</v>
      </c>
      <c r="E26" s="469">
        <v>1236398.2347228311</v>
      </c>
      <c r="F26" s="469">
        <v>151976.13169477449</v>
      </c>
      <c r="G26" s="469">
        <v>351058.4987918617</v>
      </c>
      <c r="H26" s="165">
        <f t="shared" si="0"/>
        <v>10575819.955546547</v>
      </c>
      <c r="I26" s="471">
        <v>263905</v>
      </c>
      <c r="J26" s="470" t="s">
        <v>224</v>
      </c>
      <c r="K26" s="165">
        <f t="shared" si="1"/>
        <v>40.074344766285392</v>
      </c>
    </row>
    <row r="27" spans="1:12" x14ac:dyDescent="0.3">
      <c r="A27" s="468" t="s">
        <v>103</v>
      </c>
      <c r="B27" s="486" t="s">
        <v>362</v>
      </c>
      <c r="C27" s="469">
        <v>1377000</v>
      </c>
      <c r="D27" s="469">
        <f>3109780.5357462+C27</f>
        <v>4486780.5357462</v>
      </c>
      <c r="E27" s="469">
        <v>637355.97100339015</v>
      </c>
      <c r="F27" s="469">
        <v>167873.84338270634</v>
      </c>
      <c r="G27" s="469">
        <v>185616.00856034658</v>
      </c>
      <c r="H27" s="165">
        <f t="shared" si="0"/>
        <v>5477626.3586926423</v>
      </c>
      <c r="I27" s="471">
        <v>4</v>
      </c>
      <c r="J27" s="470" t="s">
        <v>222</v>
      </c>
      <c r="K27" s="165">
        <f t="shared" si="1"/>
        <v>1369406.5896731606</v>
      </c>
    </row>
    <row r="28" spans="1:12" x14ac:dyDescent="0.3">
      <c r="A28" s="468" t="s">
        <v>104</v>
      </c>
      <c r="B28" s="486" t="s">
        <v>363</v>
      </c>
      <c r="C28" s="129"/>
      <c r="D28" s="469">
        <v>1443969.112473859</v>
      </c>
      <c r="E28" s="469">
        <v>979943.92094779294</v>
      </c>
      <c r="F28" s="469">
        <v>231880.56538863046</v>
      </c>
      <c r="G28" s="469">
        <v>307885.54041445121</v>
      </c>
      <c r="H28" s="165">
        <f t="shared" si="0"/>
        <v>2963679.1392247337</v>
      </c>
      <c r="I28" s="471">
        <v>12</v>
      </c>
      <c r="J28" s="470" t="s">
        <v>222</v>
      </c>
      <c r="K28" s="165">
        <f t="shared" si="1"/>
        <v>246973.26160206113</v>
      </c>
    </row>
    <row r="29" spans="1:12" x14ac:dyDescent="0.3">
      <c r="A29" s="468" t="s">
        <v>105</v>
      </c>
      <c r="B29" s="486" t="s">
        <v>364</v>
      </c>
      <c r="C29" s="469">
        <v>311779506.64999998</v>
      </c>
      <c r="D29" s="469">
        <f>12610165.7524036+C29</f>
        <v>324389672.40240359</v>
      </c>
      <c r="E29" s="469">
        <v>5511628.7300373437</v>
      </c>
      <c r="F29" s="469">
        <v>677480.75838739332</v>
      </c>
      <c r="G29" s="469">
        <v>1564952.1760266512</v>
      </c>
      <c r="H29" s="165">
        <f t="shared" si="0"/>
        <v>332143734.06685495</v>
      </c>
      <c r="I29" s="471">
        <v>208050</v>
      </c>
      <c r="J29" s="470" t="s">
        <v>224</v>
      </c>
      <c r="K29" s="165">
        <f t="shared" si="1"/>
        <v>1596.4611106313625</v>
      </c>
    </row>
    <row r="30" spans="1:12" x14ac:dyDescent="0.3">
      <c r="A30" s="468" t="s">
        <v>106</v>
      </c>
      <c r="B30" s="486" t="s">
        <v>365</v>
      </c>
      <c r="C30" s="129"/>
      <c r="D30" s="469">
        <v>351478.03728016751</v>
      </c>
      <c r="E30" s="469">
        <v>42990.72857661506</v>
      </c>
      <c r="F30" s="469">
        <v>148958.62546254508</v>
      </c>
      <c r="G30" s="469">
        <v>34005.015890340212</v>
      </c>
      <c r="H30" s="165">
        <f t="shared" si="0"/>
        <v>577432.40720966784</v>
      </c>
      <c r="I30" s="471">
        <v>18368</v>
      </c>
      <c r="J30" s="470" t="s">
        <v>224</v>
      </c>
      <c r="K30" s="165">
        <f t="shared" si="1"/>
        <v>31.436868859411359</v>
      </c>
    </row>
    <row r="31" spans="1:12" x14ac:dyDescent="0.3">
      <c r="A31" s="468">
        <v>132</v>
      </c>
      <c r="B31" s="486" t="s">
        <v>366</v>
      </c>
      <c r="C31" s="469">
        <v>4174650</v>
      </c>
      <c r="D31" s="469">
        <f>C31</f>
        <v>4174650</v>
      </c>
      <c r="E31" s="469">
        <v>0</v>
      </c>
      <c r="F31" s="469">
        <v>0</v>
      </c>
      <c r="G31" s="469">
        <v>0</v>
      </c>
      <c r="H31" s="165">
        <f t="shared" si="0"/>
        <v>4174650</v>
      </c>
      <c r="I31" s="471">
        <v>3544</v>
      </c>
      <c r="J31" s="470" t="s">
        <v>224</v>
      </c>
      <c r="K31" s="165">
        <f t="shared" si="1"/>
        <v>1177.9486455981942</v>
      </c>
    </row>
    <row r="32" spans="1:12" x14ac:dyDescent="0.3">
      <c r="A32" s="468" t="s">
        <v>107</v>
      </c>
      <c r="B32" s="486" t="s">
        <v>367</v>
      </c>
      <c r="C32" s="129"/>
      <c r="D32" s="469">
        <v>2405804.6410329798</v>
      </c>
      <c r="E32" s="469">
        <v>818796.40803352185</v>
      </c>
      <c r="F32" s="469">
        <v>576810.91271512955</v>
      </c>
      <c r="G32" s="469">
        <v>352321.26968249248</v>
      </c>
      <c r="H32" s="165">
        <f t="shared" si="0"/>
        <v>4153733.2314641238</v>
      </c>
      <c r="I32" s="471">
        <v>3</v>
      </c>
      <c r="J32" s="470" t="s">
        <v>222</v>
      </c>
      <c r="K32" s="165">
        <f t="shared" si="1"/>
        <v>1384577.7438213746</v>
      </c>
    </row>
    <row r="33" spans="1:12" x14ac:dyDescent="0.3">
      <c r="A33" s="468" t="s">
        <v>108</v>
      </c>
      <c r="B33" s="486" t="s">
        <v>368</v>
      </c>
      <c r="C33" s="129"/>
      <c r="D33" s="469">
        <v>169956.08276599005</v>
      </c>
      <c r="E33" s="469">
        <v>20497.263050993726</v>
      </c>
      <c r="F33" s="469">
        <v>71020.990592866117</v>
      </c>
      <c r="G33" s="469">
        <v>16213.024966891713</v>
      </c>
      <c r="H33" s="165">
        <f t="shared" si="0"/>
        <v>277687.36137674161</v>
      </c>
      <c r="I33" s="471">
        <v>12</v>
      </c>
      <c r="J33" s="470" t="s">
        <v>222</v>
      </c>
      <c r="K33" s="165">
        <f t="shared" si="1"/>
        <v>23140.613448061802</v>
      </c>
    </row>
    <row r="34" spans="1:12" ht="21" x14ac:dyDescent="0.35">
      <c r="A34" s="468" t="s">
        <v>109</v>
      </c>
      <c r="B34" s="486" t="s">
        <v>369</v>
      </c>
      <c r="C34" s="469">
        <v>72642890.939999998</v>
      </c>
      <c r="D34" s="469">
        <f>6942828.70880353+C34</f>
        <v>79585719.648803532</v>
      </c>
      <c r="E34" s="469">
        <v>1775374.7946588434</v>
      </c>
      <c r="F34" s="469">
        <v>784866.9379842995</v>
      </c>
      <c r="G34" s="469">
        <v>1906676.3038767152</v>
      </c>
      <c r="H34" s="165">
        <f t="shared" si="0"/>
        <v>84052637.685323387</v>
      </c>
      <c r="I34" s="471">
        <v>1140</v>
      </c>
      <c r="J34" s="470" t="s">
        <v>225</v>
      </c>
      <c r="K34" s="165">
        <f t="shared" si="1"/>
        <v>73730.383934494195</v>
      </c>
      <c r="L34" s="400"/>
    </row>
    <row r="35" spans="1:12" ht="21" x14ac:dyDescent="0.35">
      <c r="A35" s="468" t="s">
        <v>110</v>
      </c>
      <c r="B35" s="486" t="s">
        <v>370</v>
      </c>
      <c r="C35" s="129"/>
      <c r="D35" s="469">
        <v>5566973.61524106</v>
      </c>
      <c r="E35" s="469">
        <v>3795568.9891363201</v>
      </c>
      <c r="F35" s="469">
        <v>403862.78816061455</v>
      </c>
      <c r="G35" s="469">
        <v>896202.19827928406</v>
      </c>
      <c r="H35" s="165">
        <f t="shared" si="0"/>
        <v>10662607.590817278</v>
      </c>
      <c r="I35" s="471">
        <v>346</v>
      </c>
      <c r="J35" s="470" t="s">
        <v>225</v>
      </c>
      <c r="K35" s="165">
        <f t="shared" si="1"/>
        <v>30816.784944558607</v>
      </c>
      <c r="L35" s="400"/>
    </row>
    <row r="36" spans="1:12" ht="21" x14ac:dyDescent="0.35">
      <c r="A36" s="468" t="s">
        <v>111</v>
      </c>
      <c r="B36" s="486" t="s">
        <v>371</v>
      </c>
      <c r="C36" s="129"/>
      <c r="D36" s="469">
        <v>1824394.8242393092</v>
      </c>
      <c r="E36" s="469">
        <v>324385.63016760926</v>
      </c>
      <c r="F36" s="469">
        <v>224182.45351597268</v>
      </c>
      <c r="G36" s="469">
        <v>527729.36714909261</v>
      </c>
      <c r="H36" s="165">
        <f t="shared" si="0"/>
        <v>2900692.2750719837</v>
      </c>
      <c r="I36" s="471">
        <v>3</v>
      </c>
      <c r="J36" s="470" t="s">
        <v>225</v>
      </c>
      <c r="K36" s="165">
        <f t="shared" si="1"/>
        <v>966897.42502399452</v>
      </c>
      <c r="L36" s="400"/>
    </row>
    <row r="37" spans="1:12" ht="21" x14ac:dyDescent="0.35">
      <c r="A37" s="468" t="s">
        <v>112</v>
      </c>
      <c r="B37" s="486" t="s">
        <v>372</v>
      </c>
      <c r="C37" s="129"/>
      <c r="D37" s="469">
        <v>2110241.4490956622</v>
      </c>
      <c r="E37" s="469">
        <v>539449.90764281107</v>
      </c>
      <c r="F37" s="469">
        <v>450643.74750660604</v>
      </c>
      <c r="G37" s="469">
        <v>613847.63305820362</v>
      </c>
      <c r="H37" s="165">
        <f t="shared" si="0"/>
        <v>3714182.7373032831</v>
      </c>
      <c r="I37" s="471">
        <v>6</v>
      </c>
      <c r="J37" s="470" t="s">
        <v>311</v>
      </c>
      <c r="K37" s="165">
        <f t="shared" si="1"/>
        <v>619030.45621721388</v>
      </c>
      <c r="L37" s="400"/>
    </row>
    <row r="38" spans="1:12" ht="21" x14ac:dyDescent="0.35">
      <c r="A38" s="468" t="s">
        <v>113</v>
      </c>
      <c r="B38" s="486" t="s">
        <v>373</v>
      </c>
      <c r="C38" s="129"/>
      <c r="D38" s="469">
        <v>641922.0513276764</v>
      </c>
      <c r="E38" s="469">
        <v>402203.88365094364</v>
      </c>
      <c r="F38" s="469">
        <v>48762.091861204841</v>
      </c>
      <c r="G38" s="469">
        <v>81650.061519143695</v>
      </c>
      <c r="H38" s="165">
        <f t="shared" si="0"/>
        <v>1174538.0883589685</v>
      </c>
      <c r="I38" s="471">
        <v>67</v>
      </c>
      <c r="J38" s="470" t="s">
        <v>300</v>
      </c>
      <c r="K38" s="165">
        <f t="shared" si="1"/>
        <v>17530.419229238334</v>
      </c>
      <c r="L38" s="400"/>
    </row>
    <row r="39" spans="1:12" ht="21" x14ac:dyDescent="0.35">
      <c r="A39" s="468" t="s">
        <v>114</v>
      </c>
      <c r="B39" s="486" t="s">
        <v>374</v>
      </c>
      <c r="C39" s="469">
        <v>18337354.390000001</v>
      </c>
      <c r="D39" s="469">
        <f>16850789.1316623+C39</f>
        <v>35188143.521662302</v>
      </c>
      <c r="E39" s="469">
        <v>7192789.0425420785</v>
      </c>
      <c r="F39" s="469">
        <v>1686536.8560154522</v>
      </c>
      <c r="G39" s="469">
        <v>4177016.7767018285</v>
      </c>
      <c r="H39" s="165">
        <f t="shared" si="0"/>
        <v>48244486.196921661</v>
      </c>
      <c r="I39" s="471">
        <v>83308</v>
      </c>
      <c r="J39" s="470" t="s">
        <v>226</v>
      </c>
      <c r="K39" s="165">
        <f t="shared" si="1"/>
        <v>579.10988376772536</v>
      </c>
      <c r="L39" s="400"/>
    </row>
    <row r="40" spans="1:12" ht="21" x14ac:dyDescent="0.35">
      <c r="A40" s="468" t="s">
        <v>115</v>
      </c>
      <c r="B40" s="486" t="s">
        <v>375</v>
      </c>
      <c r="C40" s="469">
        <v>41769916</v>
      </c>
      <c r="D40" s="469">
        <f>7453914.88009412+C40</f>
        <v>49223830.880094118</v>
      </c>
      <c r="E40" s="469">
        <v>4884755.0623837654</v>
      </c>
      <c r="F40" s="469">
        <v>554055.86437782296</v>
      </c>
      <c r="G40" s="469">
        <v>1061721.0804955093</v>
      </c>
      <c r="H40" s="165">
        <f t="shared" si="0"/>
        <v>55724362.887351215</v>
      </c>
      <c r="I40" s="471">
        <v>331941</v>
      </c>
      <c r="J40" s="470" t="s">
        <v>226</v>
      </c>
      <c r="K40" s="165">
        <f t="shared" si="1"/>
        <v>167.874299611531</v>
      </c>
      <c r="L40" s="400"/>
    </row>
    <row r="41" spans="1:12" ht="21" x14ac:dyDescent="0.35">
      <c r="A41" s="468" t="s">
        <v>116</v>
      </c>
      <c r="B41" s="486" t="s">
        <v>376</v>
      </c>
      <c r="C41" s="129"/>
      <c r="D41" s="469">
        <v>4433055.2104031388</v>
      </c>
      <c r="E41" s="469">
        <v>2708210.1020532851</v>
      </c>
      <c r="F41" s="469">
        <v>393083.23375796468</v>
      </c>
      <c r="G41" s="469">
        <v>954257.04395718442</v>
      </c>
      <c r="H41" s="165">
        <f t="shared" si="0"/>
        <v>8488605.5901715718</v>
      </c>
      <c r="I41" s="471">
        <v>14693</v>
      </c>
      <c r="J41" s="445" t="s">
        <v>223</v>
      </c>
      <c r="K41" s="165">
        <f t="shared" si="1"/>
        <v>577.73127272657541</v>
      </c>
      <c r="L41" s="400"/>
    </row>
    <row r="42" spans="1:12" ht="21" x14ac:dyDescent="0.35">
      <c r="A42" s="468" t="s">
        <v>117</v>
      </c>
      <c r="B42" s="486" t="s">
        <v>377</v>
      </c>
      <c r="C42" s="129"/>
      <c r="D42" s="469">
        <v>1859961.2378290487</v>
      </c>
      <c r="E42" s="469">
        <v>635643.22935714514</v>
      </c>
      <c r="F42" s="469">
        <v>232573.23596162751</v>
      </c>
      <c r="G42" s="469">
        <v>556009.18956232339</v>
      </c>
      <c r="H42" s="165">
        <f t="shared" si="0"/>
        <v>3284186.8927101451</v>
      </c>
      <c r="I42" s="471">
        <v>142</v>
      </c>
      <c r="J42" s="445" t="s">
        <v>574</v>
      </c>
      <c r="K42" s="165">
        <f t="shared" si="1"/>
        <v>23128.076709226374</v>
      </c>
      <c r="L42" s="400"/>
    </row>
    <row r="43" spans="1:12" ht="21" x14ac:dyDescent="0.35">
      <c r="A43" s="468" t="s">
        <v>118</v>
      </c>
      <c r="B43" s="486" t="s">
        <v>378</v>
      </c>
      <c r="C43" s="129"/>
      <c r="D43" s="469">
        <v>1577378.1849242118</v>
      </c>
      <c r="E43" s="469">
        <v>199652.52650245794</v>
      </c>
      <c r="F43" s="469">
        <v>25786.029384039743</v>
      </c>
      <c r="G43" s="469">
        <v>77134.198549180306</v>
      </c>
      <c r="H43" s="165">
        <f t="shared" si="0"/>
        <v>1879950.9393598898</v>
      </c>
      <c r="I43" s="471">
        <v>307</v>
      </c>
      <c r="J43" s="470" t="s">
        <v>327</v>
      </c>
      <c r="K43" s="165">
        <f t="shared" si="1"/>
        <v>6123.6186949833545</v>
      </c>
      <c r="L43" s="400"/>
    </row>
    <row r="44" spans="1:12" ht="21" x14ac:dyDescent="0.35">
      <c r="A44" s="468" t="s">
        <v>119</v>
      </c>
      <c r="B44" s="486" t="s">
        <v>379</v>
      </c>
      <c r="C44" s="129"/>
      <c r="D44" s="469">
        <v>292294.60508241504</v>
      </c>
      <c r="E44" s="469">
        <v>48912.653931266119</v>
      </c>
      <c r="F44" s="469">
        <v>37768.03959212295</v>
      </c>
      <c r="G44" s="469">
        <v>89837.403630268018</v>
      </c>
      <c r="H44" s="165">
        <f t="shared" si="0"/>
        <v>468812.7022360721</v>
      </c>
      <c r="I44" s="471">
        <v>18</v>
      </c>
      <c r="J44" s="470" t="s">
        <v>222</v>
      </c>
      <c r="K44" s="165">
        <f t="shared" si="1"/>
        <v>26045.150124226227</v>
      </c>
      <c r="L44" s="400"/>
    </row>
    <row r="45" spans="1:12" ht="21" x14ac:dyDescent="0.35">
      <c r="A45" s="468" t="s">
        <v>120</v>
      </c>
      <c r="B45" s="486" t="s">
        <v>380</v>
      </c>
      <c r="C45" s="129"/>
      <c r="D45" s="469">
        <v>7971389.413494152</v>
      </c>
      <c r="E45" s="469">
        <v>3362140.2322620358</v>
      </c>
      <c r="F45" s="469">
        <v>502965.31169170316</v>
      </c>
      <c r="G45" s="469">
        <v>1320669.4832620565</v>
      </c>
      <c r="H45" s="165">
        <f t="shared" si="0"/>
        <v>13157164.440709949</v>
      </c>
      <c r="I45" s="471">
        <v>63</v>
      </c>
      <c r="J45" s="470" t="s">
        <v>222</v>
      </c>
      <c r="K45" s="165">
        <f t="shared" si="1"/>
        <v>208843.88001126904</v>
      </c>
      <c r="L45" s="400"/>
    </row>
    <row r="46" spans="1:12" ht="21" x14ac:dyDescent="0.35">
      <c r="A46" s="468" t="s">
        <v>121</v>
      </c>
      <c r="B46" s="486" t="s">
        <v>381</v>
      </c>
      <c r="C46" s="469">
        <v>42698191.5</v>
      </c>
      <c r="D46" s="469">
        <f>193253710.771508+C46</f>
        <v>235951902.27150801</v>
      </c>
      <c r="E46" s="469">
        <v>3637902.2560902922</v>
      </c>
      <c r="F46" s="469">
        <v>169255437.68846121</v>
      </c>
      <c r="G46" s="469">
        <v>1033293.497901755</v>
      </c>
      <c r="H46" s="165">
        <f t="shared" si="0"/>
        <v>409878535.71396124</v>
      </c>
      <c r="I46" s="471">
        <v>41</v>
      </c>
      <c r="J46" s="470" t="s">
        <v>222</v>
      </c>
      <c r="K46" s="165">
        <f t="shared" si="1"/>
        <v>9997037.4564380795</v>
      </c>
      <c r="L46" s="400"/>
    </row>
    <row r="47" spans="1:12" ht="21" x14ac:dyDescent="0.35">
      <c r="A47" s="468" t="s">
        <v>122</v>
      </c>
      <c r="B47" s="486" t="s">
        <v>382</v>
      </c>
      <c r="C47" s="129"/>
      <c r="D47" s="469">
        <v>5951500.207555362</v>
      </c>
      <c r="E47" s="469">
        <v>4784611.0743415682</v>
      </c>
      <c r="F47" s="469">
        <v>1045860.2787440623</v>
      </c>
      <c r="G47" s="469">
        <v>1287145.9147960693</v>
      </c>
      <c r="H47" s="165">
        <f t="shared" si="0"/>
        <v>13069117.475437062</v>
      </c>
      <c r="I47" s="471">
        <v>244</v>
      </c>
      <c r="J47" s="470" t="s">
        <v>222</v>
      </c>
      <c r="K47" s="165">
        <f t="shared" si="1"/>
        <v>53561.956866545333</v>
      </c>
      <c r="L47" s="400"/>
    </row>
    <row r="48" spans="1:12" ht="21" x14ac:dyDescent="0.35">
      <c r="A48" s="468" t="s">
        <v>123</v>
      </c>
      <c r="B48" s="486" t="s">
        <v>383</v>
      </c>
      <c r="C48" s="129"/>
      <c r="D48" s="469">
        <v>2601647.5516293952</v>
      </c>
      <c r="E48" s="469">
        <v>1678713.6985256516</v>
      </c>
      <c r="F48" s="469">
        <v>313608.72368829302</v>
      </c>
      <c r="G48" s="469">
        <v>480346.36808545305</v>
      </c>
      <c r="H48" s="165">
        <f t="shared" si="0"/>
        <v>5074316.3419287931</v>
      </c>
      <c r="I48" s="471">
        <v>2237</v>
      </c>
      <c r="J48" s="470" t="s">
        <v>226</v>
      </c>
      <c r="K48" s="165">
        <f t="shared" si="1"/>
        <v>2268.357774666425</v>
      </c>
      <c r="L48" s="400"/>
    </row>
    <row r="49" spans="1:12" ht="21" x14ac:dyDescent="0.35">
      <c r="A49" s="468" t="s">
        <v>124</v>
      </c>
      <c r="B49" s="486" t="s">
        <v>384</v>
      </c>
      <c r="C49" s="469">
        <v>3500000</v>
      </c>
      <c r="D49" s="469">
        <f>6342203.49275718+C49</f>
        <v>9842203.4927571788</v>
      </c>
      <c r="E49" s="469">
        <v>4665623.7592377318</v>
      </c>
      <c r="F49" s="469">
        <v>2058242.559823161</v>
      </c>
      <c r="G49" s="469">
        <v>959279.14559482411</v>
      </c>
      <c r="H49" s="165">
        <f t="shared" si="0"/>
        <v>17525348.957412899</v>
      </c>
      <c r="I49" s="471">
        <v>12</v>
      </c>
      <c r="J49" s="470" t="s">
        <v>331</v>
      </c>
      <c r="K49" s="165">
        <f t="shared" si="1"/>
        <v>1460445.746451075</v>
      </c>
      <c r="L49" s="400"/>
    </row>
    <row r="50" spans="1:12" ht="21" x14ac:dyDescent="0.35">
      <c r="A50" s="468" t="s">
        <v>125</v>
      </c>
      <c r="B50" s="486" t="s">
        <v>385</v>
      </c>
      <c r="C50" s="469">
        <v>654000</v>
      </c>
      <c r="D50" s="469">
        <f>15757807.1935758+C50</f>
        <v>16411807.193575799</v>
      </c>
      <c r="E50" s="469">
        <v>5725535.4811051525</v>
      </c>
      <c r="F50" s="469">
        <v>669523.57562987448</v>
      </c>
      <c r="G50" s="469">
        <v>4927533.4668904385</v>
      </c>
      <c r="H50" s="165">
        <f t="shared" si="0"/>
        <v>27734399.717201266</v>
      </c>
      <c r="I50" s="471">
        <v>578500</v>
      </c>
      <c r="J50" s="470" t="s">
        <v>575</v>
      </c>
      <c r="K50" s="165">
        <f t="shared" si="1"/>
        <v>47.941918266553614</v>
      </c>
      <c r="L50" s="400"/>
    </row>
    <row r="51" spans="1:12" ht="21" x14ac:dyDescent="0.35">
      <c r="A51" s="468" t="s">
        <v>126</v>
      </c>
      <c r="B51" s="486" t="s">
        <v>386</v>
      </c>
      <c r="C51" s="129"/>
      <c r="D51" s="469">
        <v>7190</v>
      </c>
      <c r="E51" s="469">
        <v>0</v>
      </c>
      <c r="F51" s="469">
        <v>0</v>
      </c>
      <c r="G51" s="469">
        <v>0</v>
      </c>
      <c r="H51" s="165">
        <f t="shared" si="0"/>
        <v>7190</v>
      </c>
      <c r="I51" s="471">
        <v>1</v>
      </c>
      <c r="J51" s="470" t="s">
        <v>227</v>
      </c>
      <c r="K51" s="165">
        <f t="shared" si="1"/>
        <v>7190</v>
      </c>
      <c r="L51" s="400"/>
    </row>
    <row r="52" spans="1:12" ht="21" x14ac:dyDescent="0.35">
      <c r="A52" s="468" t="s">
        <v>127</v>
      </c>
      <c r="B52" s="486" t="s">
        <v>387</v>
      </c>
      <c r="C52" s="469">
        <v>17276189.649999999</v>
      </c>
      <c r="D52" s="469">
        <f>1816199.48906545+C52</f>
        <v>19092389.139065448</v>
      </c>
      <c r="E52" s="469">
        <v>178429.96762630946</v>
      </c>
      <c r="F52" s="469">
        <v>164380.35243899727</v>
      </c>
      <c r="G52" s="469">
        <v>740034.55680266675</v>
      </c>
      <c r="H52" s="165">
        <f t="shared" si="0"/>
        <v>20175234.015933424</v>
      </c>
      <c r="I52" s="471">
        <v>125</v>
      </c>
      <c r="J52" s="470" t="s">
        <v>222</v>
      </c>
      <c r="K52" s="165">
        <f t="shared" si="1"/>
        <v>161401.87212746739</v>
      </c>
      <c r="L52" s="400"/>
    </row>
    <row r="53" spans="1:12" ht="21" x14ac:dyDescent="0.35">
      <c r="A53" s="468" t="s">
        <v>128</v>
      </c>
      <c r="B53" s="486" t="s">
        <v>388</v>
      </c>
      <c r="C53" s="129"/>
      <c r="D53" s="469">
        <v>2898398.7794351387</v>
      </c>
      <c r="E53" s="469">
        <v>288954.58757312055</v>
      </c>
      <c r="F53" s="469">
        <v>266202.23932121042</v>
      </c>
      <c r="G53" s="469">
        <v>1198433.1051307186</v>
      </c>
      <c r="H53" s="165">
        <f t="shared" si="0"/>
        <v>4651988.711460188</v>
      </c>
      <c r="I53" s="471">
        <v>8</v>
      </c>
      <c r="J53" s="470" t="s">
        <v>282</v>
      </c>
      <c r="K53" s="165">
        <f t="shared" si="1"/>
        <v>581498.5889325235</v>
      </c>
      <c r="L53" s="400"/>
    </row>
    <row r="54" spans="1:12" ht="21" x14ac:dyDescent="0.35">
      <c r="A54" s="468" t="s">
        <v>129</v>
      </c>
      <c r="B54" s="486" t="s">
        <v>389</v>
      </c>
      <c r="C54" s="469">
        <v>999415</v>
      </c>
      <c r="D54" s="469">
        <f>2248446.31794705+C54</f>
        <v>3247861.3179470501</v>
      </c>
      <c r="E54" s="469">
        <v>1546274.1237971948</v>
      </c>
      <c r="F54" s="469">
        <v>175778.03422185706</v>
      </c>
      <c r="G54" s="469">
        <v>601305.84050890699</v>
      </c>
      <c r="H54" s="165">
        <f t="shared" si="0"/>
        <v>5571219.3164750086</v>
      </c>
      <c r="I54" s="471">
        <v>98</v>
      </c>
      <c r="J54" s="470" t="s">
        <v>624</v>
      </c>
      <c r="K54" s="165">
        <f t="shared" si="1"/>
        <v>56849.176698724579</v>
      </c>
      <c r="L54" s="400"/>
    </row>
    <row r="55" spans="1:12" ht="21" x14ac:dyDescent="0.35">
      <c r="A55" s="468" t="s">
        <v>130</v>
      </c>
      <c r="B55" s="486" t="s">
        <v>390</v>
      </c>
      <c r="C55" s="129"/>
      <c r="D55" s="469">
        <v>15007849.43517914</v>
      </c>
      <c r="E55" s="469">
        <v>1733251.3698751547</v>
      </c>
      <c r="F55" s="469">
        <v>194042.97198466398</v>
      </c>
      <c r="G55" s="469">
        <v>668636.13988236617</v>
      </c>
      <c r="H55" s="165">
        <f t="shared" si="0"/>
        <v>17603779.916921329</v>
      </c>
      <c r="I55" s="471">
        <v>34</v>
      </c>
      <c r="J55" s="470" t="s">
        <v>222</v>
      </c>
      <c r="K55" s="165">
        <f t="shared" si="1"/>
        <v>517758.23285062733</v>
      </c>
      <c r="L55" s="400"/>
    </row>
    <row r="56" spans="1:12" ht="21" x14ac:dyDescent="0.35">
      <c r="A56" s="468" t="s">
        <v>131</v>
      </c>
      <c r="B56" s="486" t="s">
        <v>391</v>
      </c>
      <c r="C56" s="129"/>
      <c r="D56" s="469">
        <v>8613353.3028147053</v>
      </c>
      <c r="E56" s="469">
        <v>438105.06461750175</v>
      </c>
      <c r="F56" s="469">
        <v>5414769.2753099222</v>
      </c>
      <c r="G56" s="469">
        <v>400954.57307861064</v>
      </c>
      <c r="H56" s="165">
        <f t="shared" si="0"/>
        <v>14867182.215820739</v>
      </c>
      <c r="I56" s="471">
        <v>28</v>
      </c>
      <c r="J56" s="470" t="s">
        <v>222</v>
      </c>
      <c r="K56" s="165">
        <f t="shared" si="1"/>
        <v>530970.79342216928</v>
      </c>
      <c r="L56" s="400"/>
    </row>
    <row r="57" spans="1:12" ht="21" x14ac:dyDescent="0.35">
      <c r="A57" s="468" t="s">
        <v>132</v>
      </c>
      <c r="B57" s="486" t="s">
        <v>392</v>
      </c>
      <c r="C57" s="129"/>
      <c r="D57" s="469">
        <v>7335284.2126564542</v>
      </c>
      <c r="E57" s="469">
        <v>284703.55694048991</v>
      </c>
      <c r="F57" s="469">
        <v>2376443.2211099104</v>
      </c>
      <c r="G57" s="469">
        <v>200199.64226699385</v>
      </c>
      <c r="H57" s="165">
        <f t="shared" si="0"/>
        <v>10196630.632973848</v>
      </c>
      <c r="I57" s="471">
        <v>5</v>
      </c>
      <c r="J57" s="470" t="s">
        <v>311</v>
      </c>
      <c r="K57" s="165">
        <f t="shared" si="1"/>
        <v>2039326.1265947695</v>
      </c>
      <c r="L57" s="400"/>
    </row>
    <row r="58" spans="1:12" ht="21" x14ac:dyDescent="0.35">
      <c r="A58" s="468" t="s">
        <v>133</v>
      </c>
      <c r="B58" s="486" t="s">
        <v>393</v>
      </c>
      <c r="C58" s="129"/>
      <c r="D58" s="469">
        <v>14009994.271075357</v>
      </c>
      <c r="E58" s="469">
        <v>775121.84151491569</v>
      </c>
      <c r="F58" s="469">
        <v>9580135.6136364192</v>
      </c>
      <c r="G58" s="469">
        <v>709392.95650430594</v>
      </c>
      <c r="H58" s="165">
        <f t="shared" si="0"/>
        <v>25074644.682730999</v>
      </c>
      <c r="I58" s="471">
        <v>150</v>
      </c>
      <c r="J58" s="470" t="s">
        <v>222</v>
      </c>
      <c r="K58" s="165">
        <f t="shared" si="1"/>
        <v>167164.29788487332</v>
      </c>
      <c r="L58" s="400"/>
    </row>
    <row r="59" spans="1:12" ht="21" x14ac:dyDescent="0.35">
      <c r="A59" s="468" t="s">
        <v>134</v>
      </c>
      <c r="B59" s="486" t="s">
        <v>394</v>
      </c>
      <c r="C59" s="129"/>
      <c r="D59" s="469">
        <v>9074401.789646389</v>
      </c>
      <c r="E59" s="469">
        <v>499265.03090313589</v>
      </c>
      <c r="F59" s="469">
        <v>6170677.236820424</v>
      </c>
      <c r="G59" s="469">
        <v>456928.28840867302</v>
      </c>
      <c r="H59" s="165">
        <f t="shared" si="0"/>
        <v>16201272.345778622</v>
      </c>
      <c r="I59" s="471">
        <v>65</v>
      </c>
      <c r="J59" s="470" t="s">
        <v>222</v>
      </c>
      <c r="K59" s="165">
        <f t="shared" si="1"/>
        <v>249250.34378120955</v>
      </c>
      <c r="L59" s="400"/>
    </row>
    <row r="60" spans="1:12" ht="21" x14ac:dyDescent="0.35">
      <c r="A60" s="468" t="s">
        <v>135</v>
      </c>
      <c r="B60" s="486" t="s">
        <v>395</v>
      </c>
      <c r="C60" s="129"/>
      <c r="D60" s="469">
        <v>43241924.12718527</v>
      </c>
      <c r="E60" s="469">
        <v>1150306.6312008251</v>
      </c>
      <c r="F60" s="469">
        <v>14217240.353634257</v>
      </c>
      <c r="G60" s="469">
        <v>1052762.7764935826</v>
      </c>
      <c r="H60" s="165">
        <f t="shared" si="0"/>
        <v>59662233.888513938</v>
      </c>
      <c r="I60" s="471">
        <v>3</v>
      </c>
      <c r="J60" s="470" t="s">
        <v>222</v>
      </c>
      <c r="K60" s="165">
        <f t="shared" si="1"/>
        <v>19887411.296171311</v>
      </c>
      <c r="L60" s="400"/>
    </row>
    <row r="61" spans="1:12" ht="21" x14ac:dyDescent="0.35">
      <c r="A61" s="468" t="s">
        <v>169</v>
      </c>
      <c r="B61" s="486" t="s">
        <v>396</v>
      </c>
      <c r="C61" s="129"/>
      <c r="D61" s="469">
        <v>2761445.0999999996</v>
      </c>
      <c r="E61" s="469">
        <v>0</v>
      </c>
      <c r="F61" s="469">
        <v>0</v>
      </c>
      <c r="G61" s="469">
        <v>0</v>
      </c>
      <c r="H61" s="165">
        <f t="shared" si="0"/>
        <v>2761445.0999999996</v>
      </c>
      <c r="I61" s="471">
        <v>1</v>
      </c>
      <c r="J61" s="470" t="s">
        <v>222</v>
      </c>
      <c r="K61" s="165">
        <f t="shared" si="1"/>
        <v>2761445.0999999996</v>
      </c>
      <c r="L61" s="400"/>
    </row>
    <row r="62" spans="1:12" ht="21" x14ac:dyDescent="0.35">
      <c r="A62" s="468" t="s">
        <v>170</v>
      </c>
      <c r="B62" s="486" t="s">
        <v>397</v>
      </c>
      <c r="C62" s="129"/>
      <c r="D62" s="469">
        <v>8706614.2774732783</v>
      </c>
      <c r="E62" s="469">
        <v>1811018.1220858952</v>
      </c>
      <c r="F62" s="469">
        <v>1398382.5991758395</v>
      </c>
      <c r="G62" s="469">
        <v>3326279.6626040507</v>
      </c>
      <c r="H62" s="165">
        <f t="shared" si="0"/>
        <v>15242294.661339063</v>
      </c>
      <c r="I62" s="471">
        <v>15</v>
      </c>
      <c r="J62" s="470" t="s">
        <v>222</v>
      </c>
      <c r="K62" s="165">
        <f t="shared" si="1"/>
        <v>1016152.9774226042</v>
      </c>
      <c r="L62" s="400"/>
    </row>
    <row r="63" spans="1:12" ht="21" x14ac:dyDescent="0.35">
      <c r="A63" s="468" t="s">
        <v>171</v>
      </c>
      <c r="B63" s="486" t="s">
        <v>398</v>
      </c>
      <c r="C63" s="129"/>
      <c r="D63" s="469">
        <v>20628.612659547543</v>
      </c>
      <c r="E63" s="469">
        <v>3175.3440928129248</v>
      </c>
      <c r="F63" s="469">
        <v>2451.8506312190193</v>
      </c>
      <c r="G63" s="469">
        <v>5832.1241233789215</v>
      </c>
      <c r="H63" s="165">
        <f t="shared" si="0"/>
        <v>32087.931506958408</v>
      </c>
      <c r="I63" s="471">
        <v>5</v>
      </c>
      <c r="J63" s="470" t="s">
        <v>226</v>
      </c>
      <c r="K63" s="165">
        <f t="shared" si="1"/>
        <v>6417.5863013916814</v>
      </c>
      <c r="L63" s="400"/>
    </row>
    <row r="64" spans="1:12" ht="21" x14ac:dyDescent="0.35">
      <c r="A64" s="468" t="s">
        <v>172</v>
      </c>
      <c r="B64" s="486" t="s">
        <v>399</v>
      </c>
      <c r="C64" s="129"/>
      <c r="D64" s="469">
        <v>1653299.2466557766</v>
      </c>
      <c r="E64" s="469">
        <v>273679.37546909804</v>
      </c>
      <c r="F64" s="469">
        <v>211322.2787458922</v>
      </c>
      <c r="G64" s="469">
        <v>502664.29120462574</v>
      </c>
      <c r="H64" s="165">
        <f t="shared" si="0"/>
        <v>2640965.1920753927</v>
      </c>
      <c r="I64" s="471">
        <v>17</v>
      </c>
      <c r="J64" s="470" t="s">
        <v>222</v>
      </c>
      <c r="K64" s="165">
        <f t="shared" si="1"/>
        <v>155350.89365149368</v>
      </c>
      <c r="L64" s="400"/>
    </row>
    <row r="65" spans="1:12" ht="21" x14ac:dyDescent="0.35">
      <c r="A65" s="468" t="s">
        <v>173</v>
      </c>
      <c r="B65" s="486" t="s">
        <v>400</v>
      </c>
      <c r="C65" s="129"/>
      <c r="D65" s="469">
        <v>1291463.3741737336</v>
      </c>
      <c r="E65" s="469">
        <v>208057.38811646387</v>
      </c>
      <c r="F65" s="469">
        <v>160652.08162408319</v>
      </c>
      <c r="G65" s="469">
        <v>382137.0147026545</v>
      </c>
      <c r="H65" s="165">
        <f t="shared" si="0"/>
        <v>2042309.8586169351</v>
      </c>
      <c r="I65" s="471">
        <v>4</v>
      </c>
      <c r="J65" s="470" t="s">
        <v>222</v>
      </c>
      <c r="K65" s="165">
        <f t="shared" si="1"/>
        <v>510577.46465423377</v>
      </c>
      <c r="L65" s="400"/>
    </row>
    <row r="66" spans="1:12" ht="18" customHeight="1" x14ac:dyDescent="0.35">
      <c r="A66" s="468"/>
      <c r="B66" s="487" t="s">
        <v>221</v>
      </c>
      <c r="C66" s="129"/>
      <c r="D66" s="469"/>
      <c r="E66" s="469"/>
      <c r="F66" s="469"/>
      <c r="G66" s="469"/>
      <c r="H66" s="165"/>
      <c r="I66" s="471"/>
      <c r="J66" s="470"/>
      <c r="K66" s="165"/>
      <c r="L66" s="400"/>
    </row>
    <row r="67" spans="1:12" ht="21" x14ac:dyDescent="0.35">
      <c r="A67" s="468" t="s">
        <v>136</v>
      </c>
      <c r="B67" s="486" t="s">
        <v>401</v>
      </c>
      <c r="C67" s="129"/>
      <c r="D67" s="469">
        <v>2138484.5406741542</v>
      </c>
      <c r="E67" s="469">
        <v>192914.05943332164</v>
      </c>
      <c r="F67" s="469">
        <v>1169879.407246728</v>
      </c>
      <c r="G67" s="469">
        <v>101397.27310377196</v>
      </c>
      <c r="H67" s="165">
        <f t="shared" si="0"/>
        <v>3602675.2804579753</v>
      </c>
      <c r="I67" s="471">
        <v>12</v>
      </c>
      <c r="J67" s="470" t="s">
        <v>222</v>
      </c>
      <c r="K67" s="165">
        <f t="shared" si="1"/>
        <v>300222.94003816461</v>
      </c>
      <c r="L67" s="400"/>
    </row>
    <row r="68" spans="1:12" ht="21" x14ac:dyDescent="0.35">
      <c r="A68" s="468" t="s">
        <v>137</v>
      </c>
      <c r="B68" s="486" t="s">
        <v>402</v>
      </c>
      <c r="C68" s="129"/>
      <c r="D68" s="469">
        <v>1596167.8930071821</v>
      </c>
      <c r="E68" s="469">
        <v>838254.60536406445</v>
      </c>
      <c r="F68" s="469">
        <v>114285.14493661042</v>
      </c>
      <c r="G68" s="469">
        <v>132773.0098937522</v>
      </c>
      <c r="H68" s="165">
        <f t="shared" si="0"/>
        <v>2681480.6532016089</v>
      </c>
      <c r="I68" s="471">
        <v>33</v>
      </c>
      <c r="J68" s="470" t="s">
        <v>222</v>
      </c>
      <c r="K68" s="165">
        <f t="shared" si="1"/>
        <v>81256.989490957843</v>
      </c>
      <c r="L68" s="400"/>
    </row>
    <row r="69" spans="1:12" ht="21" x14ac:dyDescent="0.35">
      <c r="A69" s="468" t="s">
        <v>138</v>
      </c>
      <c r="B69" s="486" t="s">
        <v>403</v>
      </c>
      <c r="C69" s="129">
        <v>50500</v>
      </c>
      <c r="D69" s="469">
        <f>8769806.54337517+C69</f>
        <v>8820306.5433751699</v>
      </c>
      <c r="E69" s="469">
        <v>6023304.7721420899</v>
      </c>
      <c r="F69" s="469">
        <v>915995.37745186919</v>
      </c>
      <c r="G69" s="469">
        <v>1388212.9122048304</v>
      </c>
      <c r="H69" s="165">
        <f t="shared" si="0"/>
        <v>17147819.60517396</v>
      </c>
      <c r="I69" s="471">
        <v>55</v>
      </c>
      <c r="J69" s="470" t="s">
        <v>222</v>
      </c>
      <c r="K69" s="165">
        <f t="shared" si="1"/>
        <v>311778.53827589017</v>
      </c>
      <c r="L69" s="400"/>
    </row>
    <row r="70" spans="1:12" ht="21" x14ac:dyDescent="0.35">
      <c r="A70" s="468" t="s">
        <v>139</v>
      </c>
      <c r="B70" s="486" t="s">
        <v>404</v>
      </c>
      <c r="C70" s="129"/>
      <c r="D70" s="469">
        <v>10178518.05983413</v>
      </c>
      <c r="E70" s="469">
        <v>6117775.1849741088</v>
      </c>
      <c r="F70" s="469">
        <v>842007.00896013668</v>
      </c>
      <c r="G70" s="469">
        <v>1223252.4198988907</v>
      </c>
      <c r="H70" s="165">
        <f t="shared" ref="H70:H99" si="2">SUM(D70:G70)</f>
        <v>18361552.673667263</v>
      </c>
      <c r="I70" s="471">
        <v>47</v>
      </c>
      <c r="J70" s="470" t="s">
        <v>222</v>
      </c>
      <c r="K70" s="165">
        <f t="shared" ref="K70:K99" si="3">SUM(H70/I70)</f>
        <v>390671.33348228218</v>
      </c>
      <c r="L70" s="400"/>
    </row>
    <row r="71" spans="1:12" ht="21" x14ac:dyDescent="0.35">
      <c r="A71" s="468" t="s">
        <v>140</v>
      </c>
      <c r="B71" s="486" t="s">
        <v>405</v>
      </c>
      <c r="C71" s="129"/>
      <c r="D71" s="469">
        <v>11969750.143085459</v>
      </c>
      <c r="E71" s="469">
        <v>7870029.6464801198</v>
      </c>
      <c r="F71" s="469">
        <v>936542.81263931561</v>
      </c>
      <c r="G71" s="469">
        <v>2068470.451262427</v>
      </c>
      <c r="H71" s="165">
        <f t="shared" si="2"/>
        <v>22844793.053467318</v>
      </c>
      <c r="I71" s="471">
        <v>49</v>
      </c>
      <c r="J71" s="470" t="s">
        <v>222</v>
      </c>
      <c r="K71" s="165">
        <f t="shared" si="3"/>
        <v>466220.2663972922</v>
      </c>
      <c r="L71" s="400"/>
    </row>
    <row r="72" spans="1:12" ht="21" x14ac:dyDescent="0.35">
      <c r="A72" s="468" t="s">
        <v>141</v>
      </c>
      <c r="B72" s="486" t="s">
        <v>406</v>
      </c>
      <c r="C72" s="129"/>
      <c r="D72" s="469">
        <v>7187185.4501042366</v>
      </c>
      <c r="E72" s="469">
        <v>836632.6307331823</v>
      </c>
      <c r="F72" s="469">
        <v>2898849.375605077</v>
      </c>
      <c r="G72" s="469">
        <v>661763.75335807411</v>
      </c>
      <c r="H72" s="165">
        <f t="shared" si="2"/>
        <v>11584431.209800569</v>
      </c>
      <c r="I72" s="471">
        <v>1</v>
      </c>
      <c r="J72" s="470" t="s">
        <v>229</v>
      </c>
      <c r="K72" s="165">
        <f t="shared" si="3"/>
        <v>11584431.209800569</v>
      </c>
      <c r="L72" s="400"/>
    </row>
    <row r="73" spans="1:12" ht="21" x14ac:dyDescent="0.35">
      <c r="A73" s="468" t="s">
        <v>142</v>
      </c>
      <c r="B73" s="486" t="s">
        <v>407</v>
      </c>
      <c r="C73" s="129"/>
      <c r="D73" s="469">
        <v>65260</v>
      </c>
      <c r="E73" s="469">
        <v>0</v>
      </c>
      <c r="F73" s="469">
        <v>0</v>
      </c>
      <c r="G73" s="469">
        <v>0</v>
      </c>
      <c r="H73" s="165">
        <f t="shared" si="2"/>
        <v>65260</v>
      </c>
      <c r="I73" s="471">
        <v>76</v>
      </c>
      <c r="J73" s="470" t="s">
        <v>222</v>
      </c>
      <c r="K73" s="165">
        <f t="shared" si="3"/>
        <v>858.68421052631584</v>
      </c>
      <c r="L73" s="400"/>
    </row>
    <row r="74" spans="1:12" ht="21" x14ac:dyDescent="0.35">
      <c r="A74" s="468" t="s">
        <v>143</v>
      </c>
      <c r="B74" s="486" t="s">
        <v>408</v>
      </c>
      <c r="C74" s="129"/>
      <c r="D74" s="469">
        <v>34732614.985338904</v>
      </c>
      <c r="E74" s="469">
        <v>12025548.289481759</v>
      </c>
      <c r="F74" s="469">
        <v>1584849.4488625892</v>
      </c>
      <c r="G74" s="469">
        <v>2375265.7390464144</v>
      </c>
      <c r="H74" s="165">
        <f t="shared" si="2"/>
        <v>50718278.46272967</v>
      </c>
      <c r="I74" s="471">
        <v>47594</v>
      </c>
      <c r="J74" s="470" t="s">
        <v>224</v>
      </c>
      <c r="K74" s="165">
        <f t="shared" si="3"/>
        <v>1065.6443766594459</v>
      </c>
      <c r="L74" s="400"/>
    </row>
    <row r="75" spans="1:12" ht="21" x14ac:dyDescent="0.35">
      <c r="A75" s="468" t="s">
        <v>144</v>
      </c>
      <c r="B75" s="486" t="s">
        <v>409</v>
      </c>
      <c r="C75" s="129">
        <v>1985000</v>
      </c>
      <c r="D75" s="469">
        <f>418421.256478168+C75</f>
        <v>2403421.2564781681</v>
      </c>
      <c r="E75" s="469">
        <v>4082.8857172240373</v>
      </c>
      <c r="F75" s="469">
        <v>308645.33719398407</v>
      </c>
      <c r="G75" s="469">
        <v>1281.3925747595533</v>
      </c>
      <c r="H75" s="165">
        <f t="shared" si="2"/>
        <v>2717430.8719641357</v>
      </c>
      <c r="I75" s="471">
        <v>33</v>
      </c>
      <c r="J75" s="470" t="s">
        <v>222</v>
      </c>
      <c r="K75" s="165">
        <f t="shared" si="3"/>
        <v>82346.390059519268</v>
      </c>
      <c r="L75" s="400"/>
    </row>
    <row r="76" spans="1:12" ht="21" x14ac:dyDescent="0.35">
      <c r="A76" s="468" t="s">
        <v>145</v>
      </c>
      <c r="B76" s="486" t="s">
        <v>410</v>
      </c>
      <c r="C76" s="129"/>
      <c r="D76" s="469">
        <v>4859941.2191176722</v>
      </c>
      <c r="E76" s="469">
        <v>4066137.0011160392</v>
      </c>
      <c r="F76" s="469">
        <v>1179074.0294692884</v>
      </c>
      <c r="G76" s="469">
        <v>762770.23666748707</v>
      </c>
      <c r="H76" s="165">
        <f t="shared" si="2"/>
        <v>10867922.486370489</v>
      </c>
      <c r="I76" s="471">
        <v>5</v>
      </c>
      <c r="J76" s="470" t="s">
        <v>223</v>
      </c>
      <c r="K76" s="165">
        <f t="shared" si="3"/>
        <v>2173584.497274098</v>
      </c>
      <c r="L76" s="400"/>
    </row>
    <row r="77" spans="1:12" ht="21" x14ac:dyDescent="0.35">
      <c r="A77" s="468" t="s">
        <v>146</v>
      </c>
      <c r="B77" s="486" t="s">
        <v>411</v>
      </c>
      <c r="C77" s="129"/>
      <c r="D77" s="469">
        <v>59210520.922939286</v>
      </c>
      <c r="E77" s="469">
        <v>1647320.9694061691</v>
      </c>
      <c r="F77" s="469">
        <v>862253.55650529149</v>
      </c>
      <c r="G77" s="469">
        <v>3240013.5868214923</v>
      </c>
      <c r="H77" s="165">
        <f t="shared" si="2"/>
        <v>64960109.03567224</v>
      </c>
      <c r="I77" s="471">
        <v>117</v>
      </c>
      <c r="J77" s="470" t="s">
        <v>222</v>
      </c>
      <c r="K77" s="165">
        <f t="shared" si="3"/>
        <v>555214.60714249779</v>
      </c>
      <c r="L77" s="400"/>
    </row>
    <row r="78" spans="1:12" ht="21" x14ac:dyDescent="0.35">
      <c r="A78" s="468" t="s">
        <v>147</v>
      </c>
      <c r="B78" s="486" t="s">
        <v>412</v>
      </c>
      <c r="C78" s="129"/>
      <c r="D78" s="469">
        <v>1719964.8188423296</v>
      </c>
      <c r="E78" s="469">
        <v>431472.92548258137</v>
      </c>
      <c r="F78" s="469">
        <v>331890.27128156554</v>
      </c>
      <c r="G78" s="469">
        <v>304820.34270494245</v>
      </c>
      <c r="H78" s="165">
        <f t="shared" si="2"/>
        <v>2788148.3583114189</v>
      </c>
      <c r="I78" s="471">
        <v>5</v>
      </c>
      <c r="J78" s="470" t="s">
        <v>224</v>
      </c>
      <c r="K78" s="165">
        <f t="shared" si="3"/>
        <v>557629.67166228383</v>
      </c>
      <c r="L78" s="400"/>
    </row>
    <row r="79" spans="1:12" ht="21" x14ac:dyDescent="0.35">
      <c r="A79" s="468" t="s">
        <v>148</v>
      </c>
      <c r="B79" s="486" t="s">
        <v>413</v>
      </c>
      <c r="C79" s="129"/>
      <c r="D79" s="469">
        <v>13629941.724401109</v>
      </c>
      <c r="E79" s="469">
        <v>3591829.7638037018</v>
      </c>
      <c r="F79" s="469">
        <v>591074.03761214565</v>
      </c>
      <c r="G79" s="469">
        <v>1060907.8983637465</v>
      </c>
      <c r="H79" s="165">
        <f t="shared" si="2"/>
        <v>18873753.424180701</v>
      </c>
      <c r="I79" s="471">
        <v>139</v>
      </c>
      <c r="J79" s="470" t="s">
        <v>224</v>
      </c>
      <c r="K79" s="165">
        <f t="shared" si="3"/>
        <v>135782.39873511295</v>
      </c>
      <c r="L79" s="400"/>
    </row>
    <row r="80" spans="1:12" ht="21" x14ac:dyDescent="0.35">
      <c r="A80" s="468" t="s">
        <v>149</v>
      </c>
      <c r="B80" s="486" t="s">
        <v>414</v>
      </c>
      <c r="C80" s="129"/>
      <c r="D80" s="469">
        <v>12407809.447623644</v>
      </c>
      <c r="E80" s="469">
        <v>3362143.3272372796</v>
      </c>
      <c r="F80" s="469">
        <v>1526592.9888172122</v>
      </c>
      <c r="G80" s="469">
        <v>1844236.6221452174</v>
      </c>
      <c r="H80" s="165">
        <f t="shared" si="2"/>
        <v>19140782.385823354</v>
      </c>
      <c r="I80" s="471">
        <v>12</v>
      </c>
      <c r="J80" s="470" t="s">
        <v>331</v>
      </c>
      <c r="K80" s="165">
        <f t="shared" si="3"/>
        <v>1595065.1988186128</v>
      </c>
      <c r="L80" s="400"/>
    </row>
    <row r="81" spans="1:12" ht="21" x14ac:dyDescent="0.35">
      <c r="A81" s="468" t="s">
        <v>150</v>
      </c>
      <c r="B81" s="486" t="s">
        <v>415</v>
      </c>
      <c r="C81" s="129"/>
      <c r="D81" s="469">
        <v>48573014.551600248</v>
      </c>
      <c r="E81" s="469">
        <v>26998064.170063518</v>
      </c>
      <c r="F81" s="469">
        <v>3534067.8241870077</v>
      </c>
      <c r="G81" s="469">
        <v>8595079.143595295</v>
      </c>
      <c r="H81" s="165">
        <f t="shared" si="2"/>
        <v>87700225.689446077</v>
      </c>
      <c r="I81" s="471">
        <v>12</v>
      </c>
      <c r="J81" s="470" t="s">
        <v>331</v>
      </c>
      <c r="K81" s="165">
        <f t="shared" si="3"/>
        <v>7308352.1407871731</v>
      </c>
      <c r="L81" s="400"/>
    </row>
    <row r="82" spans="1:12" ht="21" x14ac:dyDescent="0.35">
      <c r="A82" s="468" t="s">
        <v>151</v>
      </c>
      <c r="B82" s="486" t="s">
        <v>416</v>
      </c>
      <c r="C82" s="129">
        <v>113111950.94</v>
      </c>
      <c r="D82" s="469">
        <f>99732446.7615747+C82</f>
        <v>212844397.70157468</v>
      </c>
      <c r="E82" s="469">
        <v>21136083.223585054</v>
      </c>
      <c r="F82" s="469">
        <v>3748978.6648544837</v>
      </c>
      <c r="G82" s="469">
        <v>12249428.600005513</v>
      </c>
      <c r="H82" s="165">
        <f t="shared" si="2"/>
        <v>249978888.19001976</v>
      </c>
      <c r="I82" s="471">
        <v>12</v>
      </c>
      <c r="J82" s="470" t="s">
        <v>331</v>
      </c>
      <c r="K82" s="165">
        <f t="shared" si="3"/>
        <v>20831574.01583498</v>
      </c>
      <c r="L82" s="400"/>
    </row>
    <row r="83" spans="1:12" ht="21" x14ac:dyDescent="0.35">
      <c r="A83" s="468" t="s">
        <v>152</v>
      </c>
      <c r="B83" s="486" t="s">
        <v>417</v>
      </c>
      <c r="C83" s="129"/>
      <c r="D83" s="469">
        <v>27377177.634126458</v>
      </c>
      <c r="E83" s="469">
        <v>8663515.002991192</v>
      </c>
      <c r="F83" s="469">
        <v>1882091.7622250342</v>
      </c>
      <c r="G83" s="469">
        <v>3974163.7665951294</v>
      </c>
      <c r="H83" s="165">
        <f t="shared" si="2"/>
        <v>41896948.165937819</v>
      </c>
      <c r="I83" s="471">
        <v>12</v>
      </c>
      <c r="J83" s="470" t="s">
        <v>331</v>
      </c>
      <c r="K83" s="165">
        <f t="shared" si="3"/>
        <v>3491412.3471614849</v>
      </c>
      <c r="L83" s="400"/>
    </row>
    <row r="84" spans="1:12" ht="21" x14ac:dyDescent="0.35">
      <c r="A84" s="468" t="s">
        <v>153</v>
      </c>
      <c r="B84" s="486" t="s">
        <v>418</v>
      </c>
      <c r="C84" s="129">
        <v>12036758</v>
      </c>
      <c r="D84" s="469">
        <f>3830341.26987117+C84</f>
        <v>15867099.26987117</v>
      </c>
      <c r="E84" s="469">
        <v>2295453.6935606683</v>
      </c>
      <c r="F84" s="469">
        <v>409811.94823521998</v>
      </c>
      <c r="G84" s="469">
        <v>809217.97284686961</v>
      </c>
      <c r="H84" s="165">
        <f t="shared" si="2"/>
        <v>19381582.884513929</v>
      </c>
      <c r="I84" s="471">
        <v>336</v>
      </c>
      <c r="J84" s="470" t="s">
        <v>222</v>
      </c>
      <c r="K84" s="165">
        <f t="shared" si="3"/>
        <v>57683.282394386697</v>
      </c>
      <c r="L84" s="400"/>
    </row>
    <row r="85" spans="1:12" ht="21" x14ac:dyDescent="0.35">
      <c r="A85" s="468" t="s">
        <v>154</v>
      </c>
      <c r="B85" s="486" t="s">
        <v>419</v>
      </c>
      <c r="C85" s="129"/>
      <c r="D85" s="469">
        <v>29994364.600951266</v>
      </c>
      <c r="E85" s="469">
        <v>6908464.7440235736</v>
      </c>
      <c r="F85" s="469">
        <v>1592539.9850585768</v>
      </c>
      <c r="G85" s="469">
        <v>5747777.586865251</v>
      </c>
      <c r="H85" s="165">
        <f t="shared" si="2"/>
        <v>44243146.916898668</v>
      </c>
      <c r="I85" s="471">
        <v>12</v>
      </c>
      <c r="J85" s="470" t="s">
        <v>331</v>
      </c>
      <c r="K85" s="165">
        <f t="shared" si="3"/>
        <v>3686928.9097415558</v>
      </c>
      <c r="L85" s="400"/>
    </row>
    <row r="86" spans="1:12" ht="21" x14ac:dyDescent="0.35">
      <c r="A86" s="468" t="s">
        <v>155</v>
      </c>
      <c r="B86" s="486" t="s">
        <v>420</v>
      </c>
      <c r="C86" s="129"/>
      <c r="D86" s="469">
        <v>3010311.4043866568</v>
      </c>
      <c r="E86" s="469">
        <v>333578.19466264482</v>
      </c>
      <c r="F86" s="469">
        <v>39770.451222290583</v>
      </c>
      <c r="G86" s="469">
        <v>146106.18497741845</v>
      </c>
      <c r="H86" s="165">
        <f t="shared" si="2"/>
        <v>3529766.2352490108</v>
      </c>
      <c r="I86" s="471">
        <v>12</v>
      </c>
      <c r="J86" s="470" t="s">
        <v>331</v>
      </c>
      <c r="K86" s="165">
        <f t="shared" si="3"/>
        <v>294147.18627075088</v>
      </c>
      <c r="L86" s="400"/>
    </row>
    <row r="87" spans="1:12" ht="21" x14ac:dyDescent="0.35">
      <c r="A87" s="468" t="s">
        <v>156</v>
      </c>
      <c r="B87" s="486" t="s">
        <v>421</v>
      </c>
      <c r="C87" s="129"/>
      <c r="D87" s="469">
        <v>540620.11008369271</v>
      </c>
      <c r="E87" s="469">
        <v>72058.987027572599</v>
      </c>
      <c r="F87" s="469">
        <v>8503.8068824353522</v>
      </c>
      <c r="G87" s="469">
        <v>26036.66717731929</v>
      </c>
      <c r="H87" s="165">
        <f t="shared" si="2"/>
        <v>647219.57117101992</v>
      </c>
      <c r="I87" s="471">
        <v>12</v>
      </c>
      <c r="J87" s="470" t="s">
        <v>331</v>
      </c>
      <c r="K87" s="165">
        <f t="shared" si="3"/>
        <v>53934.964264251663</v>
      </c>
      <c r="L87" s="400"/>
    </row>
    <row r="88" spans="1:12" ht="21" x14ac:dyDescent="0.35">
      <c r="A88" s="468" t="s">
        <v>157</v>
      </c>
      <c r="B88" s="486" t="s">
        <v>422</v>
      </c>
      <c r="C88" s="129"/>
      <c r="D88" s="469">
        <v>1052753.2402529758</v>
      </c>
      <c r="E88" s="469">
        <v>240628.30537218953</v>
      </c>
      <c r="F88" s="469">
        <v>40096.154684729401</v>
      </c>
      <c r="G88" s="469">
        <v>291397.28726665239</v>
      </c>
      <c r="H88" s="165">
        <f t="shared" si="2"/>
        <v>1624874.9875765471</v>
      </c>
      <c r="I88" s="472">
        <v>12</v>
      </c>
      <c r="J88" s="445" t="s">
        <v>331</v>
      </c>
      <c r="K88" s="165">
        <f t="shared" si="3"/>
        <v>135406.24896471226</v>
      </c>
      <c r="L88" s="400"/>
    </row>
    <row r="89" spans="1:12" ht="21" x14ac:dyDescent="0.35">
      <c r="A89" s="468" t="s">
        <v>158</v>
      </c>
      <c r="B89" s="486" t="s">
        <v>423</v>
      </c>
      <c r="C89" s="129"/>
      <c r="D89" s="469">
        <v>499206991.80389786</v>
      </c>
      <c r="E89" s="469">
        <v>7091870.3405032521</v>
      </c>
      <c r="F89" s="469">
        <v>3200841.0961581818</v>
      </c>
      <c r="G89" s="469">
        <v>24760866.817787629</v>
      </c>
      <c r="H89" s="165">
        <f t="shared" si="2"/>
        <v>534260570.05834699</v>
      </c>
      <c r="I89" s="471">
        <v>12</v>
      </c>
      <c r="J89" s="470" t="s">
        <v>331</v>
      </c>
      <c r="K89" s="165">
        <f t="shared" si="3"/>
        <v>44521714.171528913</v>
      </c>
      <c r="L89" s="400"/>
    </row>
    <row r="90" spans="1:12" ht="18" customHeight="1" x14ac:dyDescent="0.3">
      <c r="A90" s="468" t="s">
        <v>159</v>
      </c>
      <c r="B90" s="486" t="s">
        <v>424</v>
      </c>
      <c r="C90" s="129"/>
      <c r="D90" s="469">
        <v>31052227.775084484</v>
      </c>
      <c r="E90" s="469">
        <v>4476960.0310554374</v>
      </c>
      <c r="F90" s="469">
        <v>2486399.9292566027</v>
      </c>
      <c r="G90" s="469">
        <v>11176566.71872961</v>
      </c>
      <c r="H90" s="165">
        <f t="shared" si="2"/>
        <v>49192154.454126135</v>
      </c>
      <c r="I90" s="471">
        <v>88</v>
      </c>
      <c r="J90" s="470" t="s">
        <v>222</v>
      </c>
      <c r="K90" s="165">
        <f t="shared" si="3"/>
        <v>559001.75516052428</v>
      </c>
    </row>
    <row r="91" spans="1:12" ht="18" customHeight="1" x14ac:dyDescent="0.3">
      <c r="A91" s="468" t="s">
        <v>160</v>
      </c>
      <c r="B91" s="486" t="s">
        <v>425</v>
      </c>
      <c r="C91" s="129"/>
      <c r="D91" s="469">
        <v>5538799.8148258766</v>
      </c>
      <c r="E91" s="469">
        <v>39648.038246580996</v>
      </c>
      <c r="F91" s="469">
        <v>17876.813115542871</v>
      </c>
      <c r="G91" s="469">
        <v>138581.59212881932</v>
      </c>
      <c r="H91" s="165">
        <f t="shared" si="2"/>
        <v>5734906.2583168205</v>
      </c>
      <c r="I91" s="471">
        <v>1309</v>
      </c>
      <c r="J91" s="470" t="s">
        <v>224</v>
      </c>
      <c r="K91" s="165">
        <f t="shared" si="3"/>
        <v>4381.1354150625057</v>
      </c>
    </row>
    <row r="92" spans="1:12" ht="18" customHeight="1" x14ac:dyDescent="0.3">
      <c r="A92" s="468" t="s">
        <v>161</v>
      </c>
      <c r="B92" s="486" t="s">
        <v>426</v>
      </c>
      <c r="C92" s="129"/>
      <c r="D92" s="469">
        <v>612068.03093142749</v>
      </c>
      <c r="E92" s="469">
        <v>297130.65713517606</v>
      </c>
      <c r="F92" s="469">
        <v>321187.47218695731</v>
      </c>
      <c r="G92" s="469">
        <v>44107.765396696028</v>
      </c>
      <c r="H92" s="165">
        <f t="shared" si="2"/>
        <v>1274493.9256502569</v>
      </c>
      <c r="I92" s="471">
        <v>40</v>
      </c>
      <c r="J92" s="470" t="s">
        <v>222</v>
      </c>
      <c r="K92" s="165">
        <f t="shared" si="3"/>
        <v>31862.348141256422</v>
      </c>
    </row>
    <row r="93" spans="1:12" ht="18" customHeight="1" x14ac:dyDescent="0.3">
      <c r="A93" s="468" t="s">
        <v>162</v>
      </c>
      <c r="B93" s="486" t="s">
        <v>427</v>
      </c>
      <c r="C93" s="129"/>
      <c r="D93" s="469">
        <v>47629659.439916186</v>
      </c>
      <c r="E93" s="469">
        <v>1627013.4627264044</v>
      </c>
      <c r="F93" s="469">
        <v>1435998.2382093375</v>
      </c>
      <c r="G93" s="469">
        <v>25037393.82292217</v>
      </c>
      <c r="H93" s="165">
        <f t="shared" si="2"/>
        <v>75730064.9637741</v>
      </c>
      <c r="I93" s="471">
        <v>24</v>
      </c>
      <c r="J93" s="470" t="s">
        <v>229</v>
      </c>
      <c r="K93" s="165">
        <f t="shared" si="3"/>
        <v>3155419.3734905873</v>
      </c>
    </row>
    <row r="94" spans="1:12" x14ac:dyDescent="0.3">
      <c r="A94" s="468" t="s">
        <v>163</v>
      </c>
      <c r="B94" s="486" t="s">
        <v>428</v>
      </c>
      <c r="C94" s="129"/>
      <c r="D94" s="469">
        <v>3191277.6315086456</v>
      </c>
      <c r="E94" s="469">
        <v>34955.308982514267</v>
      </c>
      <c r="F94" s="469">
        <v>30851.473122318188</v>
      </c>
      <c r="G94" s="469">
        <v>537911.85951871192</v>
      </c>
      <c r="H94" s="165">
        <f t="shared" si="2"/>
        <v>3794996.2731321901</v>
      </c>
      <c r="I94" s="471">
        <v>134</v>
      </c>
      <c r="J94" s="470" t="s">
        <v>222</v>
      </c>
      <c r="K94" s="165">
        <f t="shared" si="3"/>
        <v>28320.867709941718</v>
      </c>
    </row>
    <row r="95" spans="1:12" x14ac:dyDescent="0.3">
      <c r="A95" s="468" t="s">
        <v>164</v>
      </c>
      <c r="B95" s="486" t="s">
        <v>429</v>
      </c>
      <c r="C95" s="129"/>
      <c r="D95" s="469">
        <v>506502.40885624668</v>
      </c>
      <c r="E95" s="469">
        <v>311288.08533436462</v>
      </c>
      <c r="F95" s="469">
        <v>265832.59515534114</v>
      </c>
      <c r="G95" s="469">
        <v>41717.773486837476</v>
      </c>
      <c r="H95" s="165">
        <f t="shared" si="2"/>
        <v>1125340.86283279</v>
      </c>
      <c r="I95" s="471">
        <v>5</v>
      </c>
      <c r="J95" s="470" t="s">
        <v>222</v>
      </c>
      <c r="K95" s="165">
        <f t="shared" si="3"/>
        <v>225068.172566558</v>
      </c>
    </row>
    <row r="96" spans="1:12" x14ac:dyDescent="0.3">
      <c r="A96" s="468" t="s">
        <v>165</v>
      </c>
      <c r="B96" s="486" t="s">
        <v>430</v>
      </c>
      <c r="C96" s="129"/>
      <c r="D96" s="469">
        <v>877943.97397495958</v>
      </c>
      <c r="E96" s="469">
        <v>13404.64956648728</v>
      </c>
      <c r="F96" s="469">
        <v>6043.9917276386377</v>
      </c>
      <c r="G96" s="469">
        <v>46853.20537928219</v>
      </c>
      <c r="H96" s="165">
        <f t="shared" si="2"/>
        <v>944245.82064836775</v>
      </c>
      <c r="I96" s="471">
        <v>72411</v>
      </c>
      <c r="J96" s="470" t="s">
        <v>227</v>
      </c>
      <c r="K96" s="165">
        <f t="shared" si="3"/>
        <v>13.040088117114358</v>
      </c>
    </row>
    <row r="97" spans="1:11" x14ac:dyDescent="0.3">
      <c r="A97" s="468" t="s">
        <v>166</v>
      </c>
      <c r="B97" s="486" t="s">
        <v>431</v>
      </c>
      <c r="C97" s="129"/>
      <c r="D97" s="469">
        <v>16232989.360555658</v>
      </c>
      <c r="E97" s="469">
        <v>5778819.300554092</v>
      </c>
      <c r="F97" s="469">
        <v>1106944.8588657894</v>
      </c>
      <c r="G97" s="469">
        <v>2739352.3785607181</v>
      </c>
      <c r="H97" s="165">
        <f t="shared" si="2"/>
        <v>25858105.898536257</v>
      </c>
      <c r="I97" s="471">
        <v>12</v>
      </c>
      <c r="J97" s="470" t="s">
        <v>231</v>
      </c>
      <c r="K97" s="165">
        <f t="shared" si="3"/>
        <v>2154842.1582113546</v>
      </c>
    </row>
    <row r="98" spans="1:11" x14ac:dyDescent="0.3">
      <c r="A98" s="468" t="s">
        <v>167</v>
      </c>
      <c r="B98" s="486" t="s">
        <v>432</v>
      </c>
      <c r="C98" s="129"/>
      <c r="D98" s="469">
        <v>4858509.2853885926</v>
      </c>
      <c r="E98" s="469">
        <v>327721.93482394447</v>
      </c>
      <c r="F98" s="469">
        <v>177504.27749640075</v>
      </c>
      <c r="G98" s="469">
        <v>508735.3912176342</v>
      </c>
      <c r="H98" s="165">
        <f t="shared" si="2"/>
        <v>5872470.8889265712</v>
      </c>
      <c r="I98" s="471">
        <v>10</v>
      </c>
      <c r="J98" s="470" t="s">
        <v>225</v>
      </c>
      <c r="K98" s="165">
        <f t="shared" si="3"/>
        <v>587247.08889265708</v>
      </c>
    </row>
    <row r="99" spans="1:11" x14ac:dyDescent="0.3">
      <c r="A99" s="39" t="s">
        <v>168</v>
      </c>
      <c r="B99" s="484" t="s">
        <v>433</v>
      </c>
      <c r="C99" s="45"/>
      <c r="D99" s="42">
        <v>238241.83490385881</v>
      </c>
      <c r="E99" s="42">
        <v>3510.3562525196239</v>
      </c>
      <c r="F99" s="42">
        <v>1582.7764870732854</v>
      </c>
      <c r="G99" s="42">
        <v>12269.730860024969</v>
      </c>
      <c r="H99" s="43">
        <f t="shared" si="2"/>
        <v>255604.69850347668</v>
      </c>
      <c r="I99" s="377">
        <v>4</v>
      </c>
      <c r="J99" s="51" t="s">
        <v>224</v>
      </c>
      <c r="K99" s="43">
        <f t="shared" si="3"/>
        <v>63901.174625869171</v>
      </c>
    </row>
    <row r="100" spans="1:11" ht="18" customHeight="1" x14ac:dyDescent="0.3">
      <c r="A100" s="28"/>
      <c r="B100" s="38" t="s">
        <v>178</v>
      </c>
      <c r="C100" s="43">
        <f>SUM(C5:C99)</f>
        <v>671818865.51999998</v>
      </c>
      <c r="D100" s="49">
        <f>SUM(D5:D99)</f>
        <v>2223079987.8200002</v>
      </c>
      <c r="E100" s="49">
        <f t="shared" ref="E100:G100" si="4">SUM(E5:E99)</f>
        <v>321408392.42999983</v>
      </c>
      <c r="F100" s="49">
        <f t="shared" si="4"/>
        <v>310896069.69999999</v>
      </c>
      <c r="G100" s="49">
        <f t="shared" si="4"/>
        <v>184840671.83999962</v>
      </c>
      <c r="H100" s="49">
        <f>SUM(H5:H99)</f>
        <v>3040225121.7899995</v>
      </c>
      <c r="I100" s="44"/>
      <c r="J100" s="51"/>
      <c r="K100" s="44"/>
    </row>
  </sheetData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8"/>
  <sheetViews>
    <sheetView workbookViewId="0">
      <pane xSplit="2" ySplit="10" topLeftCell="C26" activePane="bottomRight" state="frozen"/>
      <selection pane="topRight" activeCell="C1" sqref="C1"/>
      <selection pane="bottomLeft" activeCell="A11" sqref="A11"/>
      <selection pane="bottomRight"/>
    </sheetView>
  </sheetViews>
  <sheetFormatPr defaultRowHeight="21" x14ac:dyDescent="0.35"/>
  <cols>
    <col min="1" max="1" width="50.140625" style="52" customWidth="1"/>
    <col min="2" max="2" width="15.5703125" style="52" hidden="1" customWidth="1"/>
    <col min="3" max="3" width="15.7109375" style="52" bestFit="1" customWidth="1"/>
    <col min="4" max="4" width="17.28515625" style="52" bestFit="1" customWidth="1"/>
    <col min="5" max="5" width="13.28515625" style="52" bestFit="1" customWidth="1"/>
    <col min="6" max="6" width="12.42578125" style="52" bestFit="1" customWidth="1"/>
    <col min="7" max="8" width="18.140625" style="52" bestFit="1" customWidth="1"/>
    <col min="9" max="9" width="16.42578125" style="52" bestFit="1" customWidth="1"/>
    <col min="10" max="10" width="13.28515625" style="52" bestFit="1" customWidth="1"/>
    <col min="11" max="257" width="9.140625" style="52"/>
    <col min="258" max="258" width="50.140625" style="52" bestFit="1" customWidth="1"/>
    <col min="259" max="259" width="15.42578125" style="52" bestFit="1" customWidth="1"/>
    <col min="260" max="262" width="13.85546875" style="52" customWidth="1"/>
    <col min="263" max="263" width="15.42578125" style="52" bestFit="1" customWidth="1"/>
    <col min="264" max="513" width="9.140625" style="52"/>
    <col min="514" max="514" width="50.140625" style="52" bestFit="1" customWidth="1"/>
    <col min="515" max="515" width="15.42578125" style="52" bestFit="1" customWidth="1"/>
    <col min="516" max="518" width="13.85546875" style="52" customWidth="1"/>
    <col min="519" max="519" width="15.42578125" style="52" bestFit="1" customWidth="1"/>
    <col min="520" max="769" width="9.140625" style="52"/>
    <col min="770" max="770" width="50.140625" style="52" bestFit="1" customWidth="1"/>
    <col min="771" max="771" width="15.42578125" style="52" bestFit="1" customWidth="1"/>
    <col min="772" max="774" width="13.85546875" style="52" customWidth="1"/>
    <col min="775" max="775" width="15.42578125" style="52" bestFit="1" customWidth="1"/>
    <col min="776" max="1025" width="9.140625" style="52"/>
    <col min="1026" max="1026" width="50.140625" style="52" bestFit="1" customWidth="1"/>
    <col min="1027" max="1027" width="15.42578125" style="52" bestFit="1" customWidth="1"/>
    <col min="1028" max="1030" width="13.85546875" style="52" customWidth="1"/>
    <col min="1031" max="1031" width="15.42578125" style="52" bestFit="1" customWidth="1"/>
    <col min="1032" max="1281" width="9.140625" style="52"/>
    <col min="1282" max="1282" width="50.140625" style="52" bestFit="1" customWidth="1"/>
    <col min="1283" max="1283" width="15.42578125" style="52" bestFit="1" customWidth="1"/>
    <col min="1284" max="1286" width="13.85546875" style="52" customWidth="1"/>
    <col min="1287" max="1287" width="15.42578125" style="52" bestFit="1" customWidth="1"/>
    <col min="1288" max="1537" width="9.140625" style="52"/>
    <col min="1538" max="1538" width="50.140625" style="52" bestFit="1" customWidth="1"/>
    <col min="1539" max="1539" width="15.42578125" style="52" bestFit="1" customWidth="1"/>
    <col min="1540" max="1542" width="13.85546875" style="52" customWidth="1"/>
    <col min="1543" max="1543" width="15.42578125" style="52" bestFit="1" customWidth="1"/>
    <col min="1544" max="1793" width="9.140625" style="52"/>
    <col min="1794" max="1794" width="50.140625" style="52" bestFit="1" customWidth="1"/>
    <col min="1795" max="1795" width="15.42578125" style="52" bestFit="1" customWidth="1"/>
    <col min="1796" max="1798" width="13.85546875" style="52" customWidth="1"/>
    <col min="1799" max="1799" width="15.42578125" style="52" bestFit="1" customWidth="1"/>
    <col min="1800" max="2049" width="9.140625" style="52"/>
    <col min="2050" max="2050" width="50.140625" style="52" bestFit="1" customWidth="1"/>
    <col min="2051" max="2051" width="15.42578125" style="52" bestFit="1" customWidth="1"/>
    <col min="2052" max="2054" width="13.85546875" style="52" customWidth="1"/>
    <col min="2055" max="2055" width="15.42578125" style="52" bestFit="1" customWidth="1"/>
    <col min="2056" max="2305" width="9.140625" style="52"/>
    <col min="2306" max="2306" width="50.140625" style="52" bestFit="1" customWidth="1"/>
    <col min="2307" max="2307" width="15.42578125" style="52" bestFit="1" customWidth="1"/>
    <col min="2308" max="2310" width="13.85546875" style="52" customWidth="1"/>
    <col min="2311" max="2311" width="15.42578125" style="52" bestFit="1" customWidth="1"/>
    <col min="2312" max="2561" width="9.140625" style="52"/>
    <col min="2562" max="2562" width="50.140625" style="52" bestFit="1" customWidth="1"/>
    <col min="2563" max="2563" width="15.42578125" style="52" bestFit="1" customWidth="1"/>
    <col min="2564" max="2566" width="13.85546875" style="52" customWidth="1"/>
    <col min="2567" max="2567" width="15.42578125" style="52" bestFit="1" customWidth="1"/>
    <col min="2568" max="2817" width="9.140625" style="52"/>
    <col min="2818" max="2818" width="50.140625" style="52" bestFit="1" customWidth="1"/>
    <col min="2819" max="2819" width="15.42578125" style="52" bestFit="1" customWidth="1"/>
    <col min="2820" max="2822" width="13.85546875" style="52" customWidth="1"/>
    <col min="2823" max="2823" width="15.42578125" style="52" bestFit="1" customWidth="1"/>
    <col min="2824" max="3073" width="9.140625" style="52"/>
    <col min="3074" max="3074" width="50.140625" style="52" bestFit="1" customWidth="1"/>
    <col min="3075" max="3075" width="15.42578125" style="52" bestFit="1" customWidth="1"/>
    <col min="3076" max="3078" width="13.85546875" style="52" customWidth="1"/>
    <col min="3079" max="3079" width="15.42578125" style="52" bestFit="1" customWidth="1"/>
    <col min="3080" max="3329" width="9.140625" style="52"/>
    <col min="3330" max="3330" width="50.140625" style="52" bestFit="1" customWidth="1"/>
    <col min="3331" max="3331" width="15.42578125" style="52" bestFit="1" customWidth="1"/>
    <col min="3332" max="3334" width="13.85546875" style="52" customWidth="1"/>
    <col min="3335" max="3335" width="15.42578125" style="52" bestFit="1" customWidth="1"/>
    <col min="3336" max="3585" width="9.140625" style="52"/>
    <col min="3586" max="3586" width="50.140625" style="52" bestFit="1" customWidth="1"/>
    <col min="3587" max="3587" width="15.42578125" style="52" bestFit="1" customWidth="1"/>
    <col min="3588" max="3590" width="13.85546875" style="52" customWidth="1"/>
    <col min="3591" max="3591" width="15.42578125" style="52" bestFit="1" customWidth="1"/>
    <col min="3592" max="3841" width="9.140625" style="52"/>
    <col min="3842" max="3842" width="50.140625" style="52" bestFit="1" customWidth="1"/>
    <col min="3843" max="3843" width="15.42578125" style="52" bestFit="1" customWidth="1"/>
    <col min="3844" max="3846" width="13.85546875" style="52" customWidth="1"/>
    <col min="3847" max="3847" width="15.42578125" style="52" bestFit="1" customWidth="1"/>
    <col min="3848" max="4097" width="9.140625" style="52"/>
    <col min="4098" max="4098" width="50.140625" style="52" bestFit="1" customWidth="1"/>
    <col min="4099" max="4099" width="15.42578125" style="52" bestFit="1" customWidth="1"/>
    <col min="4100" max="4102" width="13.85546875" style="52" customWidth="1"/>
    <col min="4103" max="4103" width="15.42578125" style="52" bestFit="1" customWidth="1"/>
    <col min="4104" max="4353" width="9.140625" style="52"/>
    <col min="4354" max="4354" width="50.140625" style="52" bestFit="1" customWidth="1"/>
    <col min="4355" max="4355" width="15.42578125" style="52" bestFit="1" customWidth="1"/>
    <col min="4356" max="4358" width="13.85546875" style="52" customWidth="1"/>
    <col min="4359" max="4359" width="15.42578125" style="52" bestFit="1" customWidth="1"/>
    <col min="4360" max="4609" width="9.140625" style="52"/>
    <col min="4610" max="4610" width="50.140625" style="52" bestFit="1" customWidth="1"/>
    <col min="4611" max="4611" width="15.42578125" style="52" bestFit="1" customWidth="1"/>
    <col min="4612" max="4614" width="13.85546875" style="52" customWidth="1"/>
    <col min="4615" max="4615" width="15.42578125" style="52" bestFit="1" customWidth="1"/>
    <col min="4616" max="4865" width="9.140625" style="52"/>
    <col min="4866" max="4866" width="50.140625" style="52" bestFit="1" customWidth="1"/>
    <col min="4867" max="4867" width="15.42578125" style="52" bestFit="1" customWidth="1"/>
    <col min="4868" max="4870" width="13.85546875" style="52" customWidth="1"/>
    <col min="4871" max="4871" width="15.42578125" style="52" bestFit="1" customWidth="1"/>
    <col min="4872" max="5121" width="9.140625" style="52"/>
    <col min="5122" max="5122" width="50.140625" style="52" bestFit="1" customWidth="1"/>
    <col min="5123" max="5123" width="15.42578125" style="52" bestFit="1" customWidth="1"/>
    <col min="5124" max="5126" width="13.85546875" style="52" customWidth="1"/>
    <col min="5127" max="5127" width="15.42578125" style="52" bestFit="1" customWidth="1"/>
    <col min="5128" max="5377" width="9.140625" style="52"/>
    <col min="5378" max="5378" width="50.140625" style="52" bestFit="1" customWidth="1"/>
    <col min="5379" max="5379" width="15.42578125" style="52" bestFit="1" customWidth="1"/>
    <col min="5380" max="5382" width="13.85546875" style="52" customWidth="1"/>
    <col min="5383" max="5383" width="15.42578125" style="52" bestFit="1" customWidth="1"/>
    <col min="5384" max="5633" width="9.140625" style="52"/>
    <col min="5634" max="5634" width="50.140625" style="52" bestFit="1" customWidth="1"/>
    <col min="5635" max="5635" width="15.42578125" style="52" bestFit="1" customWidth="1"/>
    <col min="5636" max="5638" width="13.85546875" style="52" customWidth="1"/>
    <col min="5639" max="5639" width="15.42578125" style="52" bestFit="1" customWidth="1"/>
    <col min="5640" max="5889" width="9.140625" style="52"/>
    <col min="5890" max="5890" width="50.140625" style="52" bestFit="1" customWidth="1"/>
    <col min="5891" max="5891" width="15.42578125" style="52" bestFit="1" customWidth="1"/>
    <col min="5892" max="5894" width="13.85546875" style="52" customWidth="1"/>
    <col min="5895" max="5895" width="15.42578125" style="52" bestFit="1" customWidth="1"/>
    <col min="5896" max="6145" width="9.140625" style="52"/>
    <col min="6146" max="6146" width="50.140625" style="52" bestFit="1" customWidth="1"/>
    <col min="6147" max="6147" width="15.42578125" style="52" bestFit="1" customWidth="1"/>
    <col min="6148" max="6150" width="13.85546875" style="52" customWidth="1"/>
    <col min="6151" max="6151" width="15.42578125" style="52" bestFit="1" customWidth="1"/>
    <col min="6152" max="6401" width="9.140625" style="52"/>
    <col min="6402" max="6402" width="50.140625" style="52" bestFit="1" customWidth="1"/>
    <col min="6403" max="6403" width="15.42578125" style="52" bestFit="1" customWidth="1"/>
    <col min="6404" max="6406" width="13.85546875" style="52" customWidth="1"/>
    <col min="6407" max="6407" width="15.42578125" style="52" bestFit="1" customWidth="1"/>
    <col min="6408" max="6657" width="9.140625" style="52"/>
    <col min="6658" max="6658" width="50.140625" style="52" bestFit="1" customWidth="1"/>
    <col min="6659" max="6659" width="15.42578125" style="52" bestFit="1" customWidth="1"/>
    <col min="6660" max="6662" width="13.85546875" style="52" customWidth="1"/>
    <col min="6663" max="6663" width="15.42578125" style="52" bestFit="1" customWidth="1"/>
    <col min="6664" max="6913" width="9.140625" style="52"/>
    <col min="6914" max="6914" width="50.140625" style="52" bestFit="1" customWidth="1"/>
    <col min="6915" max="6915" width="15.42578125" style="52" bestFit="1" customWidth="1"/>
    <col min="6916" max="6918" width="13.85546875" style="52" customWidth="1"/>
    <col min="6919" max="6919" width="15.42578125" style="52" bestFit="1" customWidth="1"/>
    <col min="6920" max="7169" width="9.140625" style="52"/>
    <col min="7170" max="7170" width="50.140625" style="52" bestFit="1" customWidth="1"/>
    <col min="7171" max="7171" width="15.42578125" style="52" bestFit="1" customWidth="1"/>
    <col min="7172" max="7174" width="13.85546875" style="52" customWidth="1"/>
    <col min="7175" max="7175" width="15.42578125" style="52" bestFit="1" customWidth="1"/>
    <col min="7176" max="7425" width="9.140625" style="52"/>
    <col min="7426" max="7426" width="50.140625" style="52" bestFit="1" customWidth="1"/>
    <col min="7427" max="7427" width="15.42578125" style="52" bestFit="1" customWidth="1"/>
    <col min="7428" max="7430" width="13.85546875" style="52" customWidth="1"/>
    <col min="7431" max="7431" width="15.42578125" style="52" bestFit="1" customWidth="1"/>
    <col min="7432" max="7681" width="9.140625" style="52"/>
    <col min="7682" max="7682" width="50.140625" style="52" bestFit="1" customWidth="1"/>
    <col min="7683" max="7683" width="15.42578125" style="52" bestFit="1" customWidth="1"/>
    <col min="7684" max="7686" width="13.85546875" style="52" customWidth="1"/>
    <col min="7687" max="7687" width="15.42578125" style="52" bestFit="1" customWidth="1"/>
    <col min="7688" max="7937" width="9.140625" style="52"/>
    <col min="7938" max="7938" width="50.140625" style="52" bestFit="1" customWidth="1"/>
    <col min="7939" max="7939" width="15.42578125" style="52" bestFit="1" customWidth="1"/>
    <col min="7940" max="7942" width="13.85546875" style="52" customWidth="1"/>
    <col min="7943" max="7943" width="15.42578125" style="52" bestFit="1" customWidth="1"/>
    <col min="7944" max="8193" width="9.140625" style="52"/>
    <col min="8194" max="8194" width="50.140625" style="52" bestFit="1" customWidth="1"/>
    <col min="8195" max="8195" width="15.42578125" style="52" bestFit="1" customWidth="1"/>
    <col min="8196" max="8198" width="13.85546875" style="52" customWidth="1"/>
    <col min="8199" max="8199" width="15.42578125" style="52" bestFit="1" customWidth="1"/>
    <col min="8200" max="8449" width="9.140625" style="52"/>
    <col min="8450" max="8450" width="50.140625" style="52" bestFit="1" customWidth="1"/>
    <col min="8451" max="8451" width="15.42578125" style="52" bestFit="1" customWidth="1"/>
    <col min="8452" max="8454" width="13.85546875" style="52" customWidth="1"/>
    <col min="8455" max="8455" width="15.42578125" style="52" bestFit="1" customWidth="1"/>
    <col min="8456" max="8705" width="9.140625" style="52"/>
    <col min="8706" max="8706" width="50.140625" style="52" bestFit="1" customWidth="1"/>
    <col min="8707" max="8707" width="15.42578125" style="52" bestFit="1" customWidth="1"/>
    <col min="8708" max="8710" width="13.85546875" style="52" customWidth="1"/>
    <col min="8711" max="8711" width="15.42578125" style="52" bestFit="1" customWidth="1"/>
    <col min="8712" max="8961" width="9.140625" style="52"/>
    <col min="8962" max="8962" width="50.140625" style="52" bestFit="1" customWidth="1"/>
    <col min="8963" max="8963" width="15.42578125" style="52" bestFit="1" customWidth="1"/>
    <col min="8964" max="8966" width="13.85546875" style="52" customWidth="1"/>
    <col min="8967" max="8967" width="15.42578125" style="52" bestFit="1" customWidth="1"/>
    <col min="8968" max="9217" width="9.140625" style="52"/>
    <col min="9218" max="9218" width="50.140625" style="52" bestFit="1" customWidth="1"/>
    <col min="9219" max="9219" width="15.42578125" style="52" bestFit="1" customWidth="1"/>
    <col min="9220" max="9222" width="13.85546875" style="52" customWidth="1"/>
    <col min="9223" max="9223" width="15.42578125" style="52" bestFit="1" customWidth="1"/>
    <col min="9224" max="9473" width="9.140625" style="52"/>
    <col min="9474" max="9474" width="50.140625" style="52" bestFit="1" customWidth="1"/>
    <col min="9475" max="9475" width="15.42578125" style="52" bestFit="1" customWidth="1"/>
    <col min="9476" max="9478" width="13.85546875" style="52" customWidth="1"/>
    <col min="9479" max="9479" width="15.42578125" style="52" bestFit="1" customWidth="1"/>
    <col min="9480" max="9729" width="9.140625" style="52"/>
    <col min="9730" max="9730" width="50.140625" style="52" bestFit="1" customWidth="1"/>
    <col min="9731" max="9731" width="15.42578125" style="52" bestFit="1" customWidth="1"/>
    <col min="9732" max="9734" width="13.85546875" style="52" customWidth="1"/>
    <col min="9735" max="9735" width="15.42578125" style="52" bestFit="1" customWidth="1"/>
    <col min="9736" max="9985" width="9.140625" style="52"/>
    <col min="9986" max="9986" width="50.140625" style="52" bestFit="1" customWidth="1"/>
    <col min="9987" max="9987" width="15.42578125" style="52" bestFit="1" customWidth="1"/>
    <col min="9988" max="9990" width="13.85546875" style="52" customWidth="1"/>
    <col min="9991" max="9991" width="15.42578125" style="52" bestFit="1" customWidth="1"/>
    <col min="9992" max="10241" width="9.140625" style="52"/>
    <col min="10242" max="10242" width="50.140625" style="52" bestFit="1" customWidth="1"/>
    <col min="10243" max="10243" width="15.42578125" style="52" bestFit="1" customWidth="1"/>
    <col min="10244" max="10246" width="13.85546875" style="52" customWidth="1"/>
    <col min="10247" max="10247" width="15.42578125" style="52" bestFit="1" customWidth="1"/>
    <col min="10248" max="10497" width="9.140625" style="52"/>
    <col min="10498" max="10498" width="50.140625" style="52" bestFit="1" customWidth="1"/>
    <col min="10499" max="10499" width="15.42578125" style="52" bestFit="1" customWidth="1"/>
    <col min="10500" max="10502" width="13.85546875" style="52" customWidth="1"/>
    <col min="10503" max="10503" width="15.42578125" style="52" bestFit="1" customWidth="1"/>
    <col min="10504" max="10753" width="9.140625" style="52"/>
    <col min="10754" max="10754" width="50.140625" style="52" bestFit="1" customWidth="1"/>
    <col min="10755" max="10755" width="15.42578125" style="52" bestFit="1" customWidth="1"/>
    <col min="10756" max="10758" width="13.85546875" style="52" customWidth="1"/>
    <col min="10759" max="10759" width="15.42578125" style="52" bestFit="1" customWidth="1"/>
    <col min="10760" max="11009" width="9.140625" style="52"/>
    <col min="11010" max="11010" width="50.140625" style="52" bestFit="1" customWidth="1"/>
    <col min="11011" max="11011" width="15.42578125" style="52" bestFit="1" customWidth="1"/>
    <col min="11012" max="11014" width="13.85546875" style="52" customWidth="1"/>
    <col min="11015" max="11015" width="15.42578125" style="52" bestFit="1" customWidth="1"/>
    <col min="11016" max="11265" width="9.140625" style="52"/>
    <col min="11266" max="11266" width="50.140625" style="52" bestFit="1" customWidth="1"/>
    <col min="11267" max="11267" width="15.42578125" style="52" bestFit="1" customWidth="1"/>
    <col min="11268" max="11270" width="13.85546875" style="52" customWidth="1"/>
    <col min="11271" max="11271" width="15.42578125" style="52" bestFit="1" customWidth="1"/>
    <col min="11272" max="11521" width="9.140625" style="52"/>
    <col min="11522" max="11522" width="50.140625" style="52" bestFit="1" customWidth="1"/>
    <col min="11523" max="11523" width="15.42578125" style="52" bestFit="1" customWidth="1"/>
    <col min="11524" max="11526" width="13.85546875" style="52" customWidth="1"/>
    <col min="11527" max="11527" width="15.42578125" style="52" bestFit="1" customWidth="1"/>
    <col min="11528" max="11777" width="9.140625" style="52"/>
    <col min="11778" max="11778" width="50.140625" style="52" bestFit="1" customWidth="1"/>
    <col min="11779" max="11779" width="15.42578125" style="52" bestFit="1" customWidth="1"/>
    <col min="11780" max="11782" width="13.85546875" style="52" customWidth="1"/>
    <col min="11783" max="11783" width="15.42578125" style="52" bestFit="1" customWidth="1"/>
    <col min="11784" max="12033" width="9.140625" style="52"/>
    <col min="12034" max="12034" width="50.140625" style="52" bestFit="1" customWidth="1"/>
    <col min="12035" max="12035" width="15.42578125" style="52" bestFit="1" customWidth="1"/>
    <col min="12036" max="12038" width="13.85546875" style="52" customWidth="1"/>
    <col min="12039" max="12039" width="15.42578125" style="52" bestFit="1" customWidth="1"/>
    <col min="12040" max="12289" width="9.140625" style="52"/>
    <col min="12290" max="12290" width="50.140625" style="52" bestFit="1" customWidth="1"/>
    <col min="12291" max="12291" width="15.42578125" style="52" bestFit="1" customWidth="1"/>
    <col min="12292" max="12294" width="13.85546875" style="52" customWidth="1"/>
    <col min="12295" max="12295" width="15.42578125" style="52" bestFit="1" customWidth="1"/>
    <col min="12296" max="12545" width="9.140625" style="52"/>
    <col min="12546" max="12546" width="50.140625" style="52" bestFit="1" customWidth="1"/>
    <col min="12547" max="12547" width="15.42578125" style="52" bestFit="1" customWidth="1"/>
    <col min="12548" max="12550" width="13.85546875" style="52" customWidth="1"/>
    <col min="12551" max="12551" width="15.42578125" style="52" bestFit="1" customWidth="1"/>
    <col min="12552" max="12801" width="9.140625" style="52"/>
    <col min="12802" max="12802" width="50.140625" style="52" bestFit="1" customWidth="1"/>
    <col min="12803" max="12803" width="15.42578125" style="52" bestFit="1" customWidth="1"/>
    <col min="12804" max="12806" width="13.85546875" style="52" customWidth="1"/>
    <col min="12807" max="12807" width="15.42578125" style="52" bestFit="1" customWidth="1"/>
    <col min="12808" max="13057" width="9.140625" style="52"/>
    <col min="13058" max="13058" width="50.140625" style="52" bestFit="1" customWidth="1"/>
    <col min="13059" max="13059" width="15.42578125" style="52" bestFit="1" customWidth="1"/>
    <col min="13060" max="13062" width="13.85546875" style="52" customWidth="1"/>
    <col min="13063" max="13063" width="15.42578125" style="52" bestFit="1" customWidth="1"/>
    <col min="13064" max="13313" width="9.140625" style="52"/>
    <col min="13314" max="13314" width="50.140625" style="52" bestFit="1" customWidth="1"/>
    <col min="13315" max="13315" width="15.42578125" style="52" bestFit="1" customWidth="1"/>
    <col min="13316" max="13318" width="13.85546875" style="52" customWidth="1"/>
    <col min="13319" max="13319" width="15.42578125" style="52" bestFit="1" customWidth="1"/>
    <col min="13320" max="13569" width="9.140625" style="52"/>
    <col min="13570" max="13570" width="50.140625" style="52" bestFit="1" customWidth="1"/>
    <col min="13571" max="13571" width="15.42578125" style="52" bestFit="1" customWidth="1"/>
    <col min="13572" max="13574" width="13.85546875" style="52" customWidth="1"/>
    <col min="13575" max="13575" width="15.42578125" style="52" bestFit="1" customWidth="1"/>
    <col min="13576" max="13825" width="9.140625" style="52"/>
    <col min="13826" max="13826" width="50.140625" style="52" bestFit="1" customWidth="1"/>
    <col min="13827" max="13827" width="15.42578125" style="52" bestFit="1" customWidth="1"/>
    <col min="13828" max="13830" width="13.85546875" style="52" customWidth="1"/>
    <col min="13831" max="13831" width="15.42578125" style="52" bestFit="1" customWidth="1"/>
    <col min="13832" max="14081" width="9.140625" style="52"/>
    <col min="14082" max="14082" width="50.140625" style="52" bestFit="1" customWidth="1"/>
    <col min="14083" max="14083" width="15.42578125" style="52" bestFit="1" customWidth="1"/>
    <col min="14084" max="14086" width="13.85546875" style="52" customWidth="1"/>
    <col min="14087" max="14087" width="15.42578125" style="52" bestFit="1" customWidth="1"/>
    <col min="14088" max="14337" width="9.140625" style="52"/>
    <col min="14338" max="14338" width="50.140625" style="52" bestFit="1" customWidth="1"/>
    <col min="14339" max="14339" width="15.42578125" style="52" bestFit="1" customWidth="1"/>
    <col min="14340" max="14342" width="13.85546875" style="52" customWidth="1"/>
    <col min="14343" max="14343" width="15.42578125" style="52" bestFit="1" customWidth="1"/>
    <col min="14344" max="14593" width="9.140625" style="52"/>
    <col min="14594" max="14594" width="50.140625" style="52" bestFit="1" customWidth="1"/>
    <col min="14595" max="14595" width="15.42578125" style="52" bestFit="1" customWidth="1"/>
    <col min="14596" max="14598" width="13.85546875" style="52" customWidth="1"/>
    <col min="14599" max="14599" width="15.42578125" style="52" bestFit="1" customWidth="1"/>
    <col min="14600" max="14849" width="9.140625" style="52"/>
    <col min="14850" max="14850" width="50.140625" style="52" bestFit="1" customWidth="1"/>
    <col min="14851" max="14851" width="15.42578125" style="52" bestFit="1" customWidth="1"/>
    <col min="14852" max="14854" width="13.85546875" style="52" customWidth="1"/>
    <col min="14855" max="14855" width="15.42578125" style="52" bestFit="1" customWidth="1"/>
    <col min="14856" max="15105" width="9.140625" style="52"/>
    <col min="15106" max="15106" width="50.140625" style="52" bestFit="1" customWidth="1"/>
    <col min="15107" max="15107" width="15.42578125" style="52" bestFit="1" customWidth="1"/>
    <col min="15108" max="15110" width="13.85546875" style="52" customWidth="1"/>
    <col min="15111" max="15111" width="15.42578125" style="52" bestFit="1" customWidth="1"/>
    <col min="15112" max="15361" width="9.140625" style="52"/>
    <col min="15362" max="15362" width="50.140625" style="52" bestFit="1" customWidth="1"/>
    <col min="15363" max="15363" width="15.42578125" style="52" bestFit="1" customWidth="1"/>
    <col min="15364" max="15366" width="13.85546875" style="52" customWidth="1"/>
    <col min="15367" max="15367" width="15.42578125" style="52" bestFit="1" customWidth="1"/>
    <col min="15368" max="15617" width="9.140625" style="52"/>
    <col min="15618" max="15618" width="50.140625" style="52" bestFit="1" customWidth="1"/>
    <col min="15619" max="15619" width="15.42578125" style="52" bestFit="1" customWidth="1"/>
    <col min="15620" max="15622" width="13.85546875" style="52" customWidth="1"/>
    <col min="15623" max="15623" width="15.42578125" style="52" bestFit="1" customWidth="1"/>
    <col min="15624" max="15873" width="9.140625" style="52"/>
    <col min="15874" max="15874" width="50.140625" style="52" bestFit="1" customWidth="1"/>
    <col min="15875" max="15875" width="15.42578125" style="52" bestFit="1" customWidth="1"/>
    <col min="15876" max="15878" width="13.85546875" style="52" customWidth="1"/>
    <col min="15879" max="15879" width="15.42578125" style="52" bestFit="1" customWidth="1"/>
    <col min="15880" max="16129" width="9.140625" style="52"/>
    <col min="16130" max="16130" width="50.140625" style="52" bestFit="1" customWidth="1"/>
    <col min="16131" max="16131" width="15.42578125" style="52" bestFit="1" customWidth="1"/>
    <col min="16132" max="16134" width="13.85546875" style="52" customWidth="1"/>
    <col min="16135" max="16135" width="15.42578125" style="52" bestFit="1" customWidth="1"/>
    <col min="16136" max="16384" width="9.140625" style="52"/>
  </cols>
  <sheetData>
    <row r="1" spans="1:11" x14ac:dyDescent="0.35">
      <c r="A1" s="40" t="s">
        <v>239</v>
      </c>
    </row>
    <row r="2" spans="1:11" x14ac:dyDescent="0.35">
      <c r="J2" s="55" t="s">
        <v>240</v>
      </c>
    </row>
    <row r="3" spans="1:11" s="53" customFormat="1" ht="21" customHeight="1" x14ac:dyDescent="0.2">
      <c r="A3" s="54" t="s">
        <v>238</v>
      </c>
      <c r="B3" s="56" t="s">
        <v>180</v>
      </c>
      <c r="C3" s="54" t="s">
        <v>175</v>
      </c>
      <c r="D3" s="54" t="s">
        <v>176</v>
      </c>
      <c r="E3" s="54" t="s">
        <v>0</v>
      </c>
      <c r="F3" s="54" t="s">
        <v>177</v>
      </c>
      <c r="G3" s="54" t="s">
        <v>178</v>
      </c>
      <c r="H3" s="54" t="s">
        <v>181</v>
      </c>
      <c r="I3" s="54" t="s">
        <v>182</v>
      </c>
      <c r="J3" s="54" t="s">
        <v>183</v>
      </c>
    </row>
    <row r="4" spans="1:11" ht="21" customHeight="1" x14ac:dyDescent="0.35">
      <c r="A4" s="39" t="s">
        <v>492</v>
      </c>
      <c r="B4" s="57"/>
      <c r="C4" s="59">
        <v>31693244.869789552</v>
      </c>
      <c r="D4" s="59">
        <v>15638780.991756925</v>
      </c>
      <c r="E4" s="59">
        <v>5733993.6736655571</v>
      </c>
      <c r="F4" s="59">
        <v>4397191.4615414552</v>
      </c>
      <c r="G4" s="60">
        <f t="shared" ref="G4:G12" si="0">SUM(C4:F4)</f>
        <v>57463210.996753499</v>
      </c>
      <c r="H4" s="380">
        <v>39054</v>
      </c>
      <c r="I4" s="378" t="s">
        <v>225</v>
      </c>
      <c r="J4" s="382">
        <f t="shared" ref="J4:J13" si="1">SUM(G4/H4)</f>
        <v>1471.3783734509525</v>
      </c>
    </row>
    <row r="5" spans="1:11" ht="21" customHeight="1" x14ac:dyDescent="0.35">
      <c r="A5" s="39" t="s">
        <v>649</v>
      </c>
      <c r="B5" s="64">
        <v>326000</v>
      </c>
      <c r="C5" s="59">
        <f>589832.78609903+B5</f>
        <v>915832.78609903005</v>
      </c>
      <c r="D5" s="59">
        <v>328996.12043159269</v>
      </c>
      <c r="E5" s="59">
        <v>38558.698777977763</v>
      </c>
      <c r="F5" s="59">
        <v>127559.31672350359</v>
      </c>
      <c r="G5" s="60">
        <f t="shared" si="0"/>
        <v>1410946.9220321043</v>
      </c>
      <c r="H5" s="380">
        <v>7612219</v>
      </c>
      <c r="I5" s="378" t="s">
        <v>224</v>
      </c>
      <c r="J5" s="382">
        <f t="shared" si="1"/>
        <v>0.18535290721826372</v>
      </c>
    </row>
    <row r="6" spans="1:11" ht="21" customHeight="1" x14ac:dyDescent="0.35">
      <c r="A6" s="39" t="s">
        <v>650</v>
      </c>
      <c r="B6" s="57"/>
      <c r="C6" s="59">
        <v>282093.76444829634</v>
      </c>
      <c r="D6" s="59">
        <v>34703.081693917833</v>
      </c>
      <c r="E6" s="59">
        <v>120242.74813645009</v>
      </c>
      <c r="F6" s="59">
        <v>27449.612591291556</v>
      </c>
      <c r="G6" s="60">
        <f t="shared" si="0"/>
        <v>464489.20686995576</v>
      </c>
      <c r="H6" s="380">
        <v>142027</v>
      </c>
      <c r="I6" s="378" t="s">
        <v>224</v>
      </c>
      <c r="J6" s="382">
        <f t="shared" si="1"/>
        <v>3.2704289104885391</v>
      </c>
    </row>
    <row r="7" spans="1:11" ht="21" customHeight="1" x14ac:dyDescent="0.35">
      <c r="A7" s="39" t="s">
        <v>651</v>
      </c>
      <c r="B7" s="57"/>
      <c r="C7" s="59">
        <v>23852819.785921238</v>
      </c>
      <c r="D7" s="59">
        <v>662123.93870129762</v>
      </c>
      <c r="E7" s="59">
        <v>1496804.4064537955</v>
      </c>
      <c r="F7" s="59">
        <v>444260.83601576951</v>
      </c>
      <c r="G7" s="60">
        <f t="shared" si="0"/>
        <v>26456008.967092101</v>
      </c>
      <c r="H7" s="381">
        <v>1540</v>
      </c>
      <c r="I7" s="379" t="s">
        <v>224</v>
      </c>
      <c r="J7" s="382">
        <f t="shared" si="1"/>
        <v>17179.226602007857</v>
      </c>
    </row>
    <row r="8" spans="1:11" ht="21" customHeight="1" x14ac:dyDescent="0.35">
      <c r="A8" s="39" t="s">
        <v>652</v>
      </c>
      <c r="B8" s="57"/>
      <c r="C8" s="59">
        <v>2490748.9132385398</v>
      </c>
      <c r="D8" s="59">
        <v>867583.60071336268</v>
      </c>
      <c r="E8" s="59">
        <v>624916.68583723914</v>
      </c>
      <c r="F8" s="59">
        <v>355037.71541768807</v>
      </c>
      <c r="G8" s="60">
        <f t="shared" si="0"/>
        <v>4338286.9152068291</v>
      </c>
      <c r="H8" s="380">
        <v>29239</v>
      </c>
      <c r="I8" s="378" t="s">
        <v>225</v>
      </c>
      <c r="J8" s="382">
        <f t="shared" si="1"/>
        <v>148.37329988053042</v>
      </c>
    </row>
    <row r="9" spans="1:11" ht="21" customHeight="1" x14ac:dyDescent="0.35">
      <c r="A9" s="39" t="s">
        <v>653</v>
      </c>
      <c r="B9" s="64">
        <v>21023452.5</v>
      </c>
      <c r="C9" s="59">
        <f>16119186.1716893+B9</f>
        <v>37142638.671689302</v>
      </c>
      <c r="D9" s="59">
        <v>100765215.1873676</v>
      </c>
      <c r="E9" s="59">
        <v>42629970.130545594</v>
      </c>
      <c r="F9" s="59">
        <v>31559245.902469516</v>
      </c>
      <c r="G9" s="60">
        <f t="shared" si="0"/>
        <v>212097069.89207199</v>
      </c>
      <c r="H9" s="380">
        <v>74758</v>
      </c>
      <c r="I9" s="378" t="s">
        <v>270</v>
      </c>
      <c r="J9" s="382">
        <f t="shared" si="1"/>
        <v>2837.1153574476575</v>
      </c>
    </row>
    <row r="10" spans="1:11" ht="21" customHeight="1" x14ac:dyDescent="0.35">
      <c r="A10" s="39" t="s">
        <v>654</v>
      </c>
      <c r="B10" s="57"/>
      <c r="C10" s="59">
        <v>8284640.5435093278</v>
      </c>
      <c r="D10" s="59">
        <v>3371648.1556397756</v>
      </c>
      <c r="E10" s="59">
        <v>1833123.3316467949</v>
      </c>
      <c r="F10" s="59">
        <v>930424.21880528471</v>
      </c>
      <c r="G10" s="60">
        <f t="shared" si="0"/>
        <v>14419836.249601183</v>
      </c>
      <c r="H10" s="380">
        <v>74758</v>
      </c>
      <c r="I10" s="378" t="s">
        <v>270</v>
      </c>
      <c r="J10" s="382">
        <f t="shared" si="1"/>
        <v>192.88686494557351</v>
      </c>
    </row>
    <row r="11" spans="1:11" ht="21" customHeight="1" x14ac:dyDescent="0.35">
      <c r="A11" s="39" t="s">
        <v>655</v>
      </c>
      <c r="B11" s="64">
        <v>1805099.82</v>
      </c>
      <c r="C11" s="59">
        <f>5610397.74669681+B11</f>
        <v>7415497.5666968105</v>
      </c>
      <c r="D11" s="59">
        <v>900618.76374110475</v>
      </c>
      <c r="E11" s="59">
        <v>3120555.0023086974</v>
      </c>
      <c r="F11" s="59">
        <v>712375.81651067198</v>
      </c>
      <c r="G11" s="60">
        <f t="shared" si="0"/>
        <v>12149047.149257286</v>
      </c>
      <c r="H11" s="380">
        <v>22206</v>
      </c>
      <c r="I11" s="378" t="s">
        <v>270</v>
      </c>
      <c r="J11" s="382">
        <f t="shared" si="1"/>
        <v>547.10650946848989</v>
      </c>
    </row>
    <row r="12" spans="1:11" ht="21" customHeight="1" x14ac:dyDescent="0.35">
      <c r="A12" s="39" t="s">
        <v>656</v>
      </c>
      <c r="B12" s="57"/>
      <c r="C12" s="59">
        <v>45865872.898430608</v>
      </c>
      <c r="D12" s="59">
        <v>142298.10412007602</v>
      </c>
      <c r="E12" s="59">
        <v>493048.86652194517</v>
      </c>
      <c r="F12" s="59">
        <v>112555.64750769493</v>
      </c>
      <c r="G12" s="60">
        <f t="shared" si="0"/>
        <v>46613775.516580328</v>
      </c>
      <c r="H12" s="380">
        <v>14</v>
      </c>
      <c r="I12" s="378" t="s">
        <v>222</v>
      </c>
      <c r="J12" s="382">
        <f t="shared" si="1"/>
        <v>3329555.3940414521</v>
      </c>
    </row>
    <row r="13" spans="1:11" ht="21" customHeight="1" x14ac:dyDescent="0.35">
      <c r="A13" s="39" t="s">
        <v>657</v>
      </c>
      <c r="B13" s="64">
        <v>6270990.1299999999</v>
      </c>
      <c r="C13" s="59">
        <f>3321997.85577228+B13</f>
        <v>9592987.98577228</v>
      </c>
      <c r="D13" s="59">
        <v>1475782.1889439707</v>
      </c>
      <c r="E13" s="59">
        <v>341730.01965312613</v>
      </c>
      <c r="F13" s="59">
        <v>468938.26849140693</v>
      </c>
      <c r="G13" s="60">
        <f t="shared" ref="G13:G30" si="2">SUM(C13:F13)</f>
        <v>11879438.462860785</v>
      </c>
      <c r="H13" s="381">
        <v>263905</v>
      </c>
      <c r="I13" s="379" t="s">
        <v>224</v>
      </c>
      <c r="J13" s="382">
        <f t="shared" si="1"/>
        <v>45.014071210703797</v>
      </c>
    </row>
    <row r="14" spans="1:11" ht="21" customHeight="1" x14ac:dyDescent="0.35">
      <c r="A14" s="468" t="s">
        <v>658</v>
      </c>
      <c r="B14" s="473">
        <v>313156506.64999998</v>
      </c>
      <c r="C14" s="474">
        <f>17163915.4006237+B14</f>
        <v>330320422.05062366</v>
      </c>
      <c r="D14" s="474">
        <v>7128928.6219885265</v>
      </c>
      <c r="E14" s="474">
        <v>1077235.1671587301</v>
      </c>
      <c r="F14" s="474">
        <v>2058453.725001449</v>
      </c>
      <c r="G14" s="475">
        <f t="shared" ref="G14:G21" si="3">SUM(C14:F14)</f>
        <v>340585039.56477237</v>
      </c>
      <c r="H14" s="476">
        <v>208050</v>
      </c>
      <c r="I14" s="477" t="s">
        <v>327</v>
      </c>
      <c r="J14" s="478">
        <f t="shared" ref="J14:J19" si="4">SUM(G14/H14)</f>
        <v>1637.0345569083026</v>
      </c>
      <c r="K14" s="400"/>
    </row>
    <row r="15" spans="1:11" ht="21" customHeight="1" x14ac:dyDescent="0.35">
      <c r="A15" s="468" t="s">
        <v>659</v>
      </c>
      <c r="B15" s="473">
        <v>4174650</v>
      </c>
      <c r="C15" s="474">
        <f>351478.037280168+B15</f>
        <v>4526128.0372801684</v>
      </c>
      <c r="D15" s="474">
        <v>42990.72857661506</v>
      </c>
      <c r="E15" s="474">
        <v>148958.62546254508</v>
      </c>
      <c r="F15" s="474">
        <v>34005.015890340212</v>
      </c>
      <c r="G15" s="475">
        <f t="shared" si="3"/>
        <v>4752082.4072096692</v>
      </c>
      <c r="H15" s="476">
        <v>5</v>
      </c>
      <c r="I15" s="477" t="s">
        <v>576</v>
      </c>
      <c r="J15" s="478">
        <f t="shared" si="4"/>
        <v>950416.48144193389</v>
      </c>
      <c r="K15" s="400"/>
    </row>
    <row r="16" spans="1:11" ht="21" customHeight="1" x14ac:dyDescent="0.35">
      <c r="A16" s="468" t="s">
        <v>660</v>
      </c>
      <c r="B16" s="479"/>
      <c r="C16" s="474">
        <v>2405804.6410329798</v>
      </c>
      <c r="D16" s="474">
        <v>818796.40803352173</v>
      </c>
      <c r="E16" s="474">
        <v>576810.91271512955</v>
      </c>
      <c r="F16" s="474">
        <v>352321.26968249248</v>
      </c>
      <c r="G16" s="475">
        <f t="shared" si="3"/>
        <v>4153733.2314641238</v>
      </c>
      <c r="H16" s="476">
        <v>160628</v>
      </c>
      <c r="I16" s="477" t="s">
        <v>224</v>
      </c>
      <c r="J16" s="478">
        <f t="shared" si="4"/>
        <v>25.859334807531212</v>
      </c>
      <c r="K16" s="400"/>
    </row>
    <row r="17" spans="1:11" ht="21" customHeight="1" x14ac:dyDescent="0.35">
      <c r="A17" s="468" t="s">
        <v>661</v>
      </c>
      <c r="B17" s="479"/>
      <c r="C17" s="474">
        <v>169956.08276599005</v>
      </c>
      <c r="D17" s="474">
        <v>20497.263050993726</v>
      </c>
      <c r="E17" s="474">
        <v>71020.990592866117</v>
      </c>
      <c r="F17" s="474">
        <v>16213.024966891713</v>
      </c>
      <c r="G17" s="475">
        <f t="shared" si="3"/>
        <v>277687.36137674161</v>
      </c>
      <c r="H17" s="476">
        <v>7</v>
      </c>
      <c r="I17" s="477" t="s">
        <v>222</v>
      </c>
      <c r="J17" s="478">
        <f t="shared" si="4"/>
        <v>39669.623053820229</v>
      </c>
      <c r="K17" s="400"/>
    </row>
    <row r="18" spans="1:11" ht="21" customHeight="1" x14ac:dyDescent="0.35">
      <c r="A18" s="468" t="s">
        <v>662</v>
      </c>
      <c r="B18" s="473">
        <v>72642890.939999998</v>
      </c>
      <c r="C18" s="474">
        <f>17086360.6487072+B18</f>
        <v>89729251.588707194</v>
      </c>
      <c r="D18" s="474">
        <v>6836983.2052565273</v>
      </c>
      <c r="E18" s="474">
        <v>1912318.0190286979</v>
      </c>
      <c r="F18" s="474">
        <v>4026105.5638824389</v>
      </c>
      <c r="G18" s="475">
        <f t="shared" si="3"/>
        <v>102504658.37687485</v>
      </c>
      <c r="H18" s="476">
        <v>83308</v>
      </c>
      <c r="I18" s="477" t="s">
        <v>500</v>
      </c>
      <c r="J18" s="478">
        <f t="shared" si="4"/>
        <v>1230.4299512276714</v>
      </c>
      <c r="K18" s="400"/>
    </row>
    <row r="19" spans="1:11" ht="21" customHeight="1" x14ac:dyDescent="0.35">
      <c r="A19" s="468" t="s">
        <v>663</v>
      </c>
      <c r="B19" s="473">
        <v>102805461.89</v>
      </c>
      <c r="C19" s="474">
        <f>233692493.434997+B19</f>
        <v>336497955.32499701</v>
      </c>
      <c r="D19" s="474">
        <v>22670005.105122328</v>
      </c>
      <c r="E19" s="474">
        <v>172688206.25924194</v>
      </c>
      <c r="F19" s="474">
        <v>9269938.6740601044</v>
      </c>
      <c r="G19" s="475">
        <f t="shared" si="3"/>
        <v>541126105.36342132</v>
      </c>
      <c r="H19" s="476">
        <v>331941</v>
      </c>
      <c r="I19" s="477" t="s">
        <v>500</v>
      </c>
      <c r="J19" s="478">
        <f t="shared" si="4"/>
        <v>1630.1876097361319</v>
      </c>
      <c r="K19" s="400"/>
    </row>
    <row r="20" spans="1:11" ht="21" customHeight="1" x14ac:dyDescent="0.35">
      <c r="A20" s="39" t="s">
        <v>664</v>
      </c>
      <c r="B20" s="64">
        <v>3500000</v>
      </c>
      <c r="C20" s="59">
        <f>14895351.2519419+B20</f>
        <v>18395351.251941901</v>
      </c>
      <c r="D20" s="59">
        <v>11128948.53210495</v>
      </c>
      <c r="E20" s="59">
        <v>3417711.5622555162</v>
      </c>
      <c r="F20" s="59">
        <v>2726771.4284763467</v>
      </c>
      <c r="G20" s="60">
        <f t="shared" si="3"/>
        <v>35668782.774778716</v>
      </c>
      <c r="H20" s="380">
        <v>2237</v>
      </c>
      <c r="I20" s="378" t="s">
        <v>327</v>
      </c>
      <c r="J20" s="382">
        <f>SUM(G20/H20)</f>
        <v>15944.918540357048</v>
      </c>
    </row>
    <row r="21" spans="1:11" ht="21" customHeight="1" x14ac:dyDescent="0.35">
      <c r="A21" s="39" t="s">
        <v>665</v>
      </c>
      <c r="B21" s="64">
        <v>654000</v>
      </c>
      <c r="C21" s="59">
        <f>15757807.1935758+B21</f>
        <v>16411807.193575799</v>
      </c>
      <c r="D21" s="59">
        <v>5725535.4811051525</v>
      </c>
      <c r="E21" s="59">
        <v>669523.57562987448</v>
      </c>
      <c r="F21" s="59">
        <v>4927533.4668904385</v>
      </c>
      <c r="G21" s="60">
        <f t="shared" si="3"/>
        <v>27734399.717201266</v>
      </c>
      <c r="H21" s="380">
        <v>4720</v>
      </c>
      <c r="I21" s="378" t="s">
        <v>500</v>
      </c>
      <c r="J21" s="382">
        <f t="shared" ref="J21:J23" si="5">SUM(G21/H21)</f>
        <v>5875.9321434748445</v>
      </c>
    </row>
    <row r="22" spans="1:11" ht="21" customHeight="1" x14ac:dyDescent="0.35">
      <c r="A22" s="39" t="s">
        <v>666</v>
      </c>
      <c r="B22" s="64">
        <v>18275604.649999999</v>
      </c>
      <c r="C22" s="59">
        <f>21978084.0216268+B22</f>
        <v>40253688.671626799</v>
      </c>
      <c r="D22" s="59">
        <v>3746910.0488717789</v>
      </c>
      <c r="E22" s="59">
        <v>800403.59796672873</v>
      </c>
      <c r="F22" s="59">
        <v>3208409.6423246586</v>
      </c>
      <c r="G22" s="60">
        <f t="shared" si="2"/>
        <v>48009411.960789964</v>
      </c>
      <c r="H22" s="380">
        <v>593.41999999999996</v>
      </c>
      <c r="I22" s="378" t="s">
        <v>503</v>
      </c>
      <c r="J22" s="382">
        <f t="shared" si="5"/>
        <v>80902.921979019869</v>
      </c>
    </row>
    <row r="23" spans="1:11" ht="21" customHeight="1" x14ac:dyDescent="0.35">
      <c r="A23" s="39" t="s">
        <v>667</v>
      </c>
      <c r="B23" s="57"/>
      <c r="C23" s="59">
        <v>15948637.51547116</v>
      </c>
      <c r="D23" s="59">
        <v>722808.62155799172</v>
      </c>
      <c r="E23" s="59">
        <v>7791212.496419834</v>
      </c>
      <c r="F23" s="59">
        <v>601154.21534560458</v>
      </c>
      <c r="G23" s="60">
        <f t="shared" ref="G23:G29" si="6">SUM(C23:F23)</f>
        <v>25063812.848794594</v>
      </c>
      <c r="H23" s="380">
        <v>28</v>
      </c>
      <c r="I23" s="378" t="s">
        <v>222</v>
      </c>
      <c r="J23" s="382">
        <f t="shared" si="5"/>
        <v>895136.17317123548</v>
      </c>
    </row>
    <row r="24" spans="1:11" ht="37.5" x14ac:dyDescent="0.35">
      <c r="A24" s="41" t="s">
        <v>668</v>
      </c>
      <c r="B24" s="194"/>
      <c r="C24" s="195">
        <v>23084396.060721748</v>
      </c>
      <c r="D24" s="195">
        <v>1274386.8724180516</v>
      </c>
      <c r="E24" s="195">
        <v>15750812.850456843</v>
      </c>
      <c r="F24" s="195">
        <v>1166321.244912979</v>
      </c>
      <c r="G24" s="196">
        <f t="shared" si="6"/>
        <v>41275917.028509624</v>
      </c>
      <c r="H24" s="377">
        <v>3</v>
      </c>
      <c r="I24" s="383" t="s">
        <v>282</v>
      </c>
      <c r="J24" s="384">
        <f t="shared" ref="J24:J30" si="7">SUM(G24/H24)</f>
        <v>13758639.009503208</v>
      </c>
    </row>
    <row r="25" spans="1:11" x14ac:dyDescent="0.35">
      <c r="A25" s="39" t="s">
        <v>669</v>
      </c>
      <c r="B25" s="57"/>
      <c r="C25" s="59">
        <v>43241924.12718527</v>
      </c>
      <c r="D25" s="59">
        <v>1150306.6312008251</v>
      </c>
      <c r="E25" s="59">
        <v>14217240.353634257</v>
      </c>
      <c r="F25" s="59">
        <v>1052762.7764935826</v>
      </c>
      <c r="G25" s="60">
        <f t="shared" si="6"/>
        <v>59662233.888513938</v>
      </c>
      <c r="H25" s="380">
        <v>4</v>
      </c>
      <c r="I25" s="378" t="s">
        <v>282</v>
      </c>
      <c r="J25" s="382">
        <f t="shared" si="7"/>
        <v>14915558.472128484</v>
      </c>
    </row>
    <row r="26" spans="1:11" x14ac:dyDescent="0.35">
      <c r="A26" s="39" t="s">
        <v>670</v>
      </c>
      <c r="B26" s="57"/>
      <c r="C26" s="59">
        <v>2761445.0999999996</v>
      </c>
      <c r="D26" s="59">
        <v>0</v>
      </c>
      <c r="E26" s="59">
        <v>0</v>
      </c>
      <c r="F26" s="59">
        <v>0</v>
      </c>
      <c r="G26" s="60">
        <f t="shared" si="6"/>
        <v>2761445.0999999996</v>
      </c>
      <c r="H26" s="380">
        <v>3</v>
      </c>
      <c r="I26" s="378" t="s">
        <v>282</v>
      </c>
      <c r="J26" s="382">
        <f t="shared" si="7"/>
        <v>920481.69999999984</v>
      </c>
    </row>
    <row r="27" spans="1:11" x14ac:dyDescent="0.35">
      <c r="A27" s="39" t="s">
        <v>671</v>
      </c>
      <c r="B27" s="57"/>
      <c r="C27" s="59">
        <v>11672005.510962337</v>
      </c>
      <c r="D27" s="59">
        <v>2295930.2297642701</v>
      </c>
      <c r="E27" s="59">
        <v>1772808.810177034</v>
      </c>
      <c r="F27" s="59">
        <v>4216913.0926347105</v>
      </c>
      <c r="G27" s="60">
        <f t="shared" si="6"/>
        <v>19957657.643538352</v>
      </c>
      <c r="H27" s="380">
        <v>6</v>
      </c>
      <c r="I27" s="378" t="s">
        <v>311</v>
      </c>
      <c r="J27" s="382">
        <f t="shared" si="7"/>
        <v>3326276.2739230585</v>
      </c>
    </row>
    <row r="28" spans="1:11" ht="21" customHeight="1" x14ac:dyDescent="0.35">
      <c r="A28" s="39" t="s">
        <v>672</v>
      </c>
      <c r="B28" s="64">
        <v>2035500</v>
      </c>
      <c r="C28" s="59">
        <f>141126671.013954+B28</f>
        <v>143162171.01395401</v>
      </c>
      <c r="D28" s="59">
        <v>39622000.044848077</v>
      </c>
      <c r="E28" s="59">
        <v>10812381.498870891</v>
      </c>
      <c r="F28" s="59">
        <v>11955200.7748319</v>
      </c>
      <c r="G28" s="60">
        <f t="shared" si="6"/>
        <v>205551753.33250487</v>
      </c>
      <c r="H28" s="381">
        <v>12</v>
      </c>
      <c r="I28" s="379" t="s">
        <v>331</v>
      </c>
      <c r="J28" s="382">
        <f t="shared" si="7"/>
        <v>17129312.777708739</v>
      </c>
    </row>
    <row r="29" spans="1:11" ht="21" customHeight="1" x14ac:dyDescent="0.35">
      <c r="A29" s="39" t="s">
        <v>673</v>
      </c>
      <c r="B29" s="64">
        <v>125148708.94</v>
      </c>
      <c r="C29" s="59">
        <f>241868745.563714+B29</f>
        <v>367017454.50371397</v>
      </c>
      <c r="D29" s="59">
        <v>74033292.33780998</v>
      </c>
      <c r="E29" s="59">
        <v>13705417.895060699</v>
      </c>
      <c r="F29" s="59">
        <v>35049172.072543353</v>
      </c>
      <c r="G29" s="60">
        <f t="shared" si="6"/>
        <v>489805336.80912805</v>
      </c>
      <c r="H29" s="380">
        <v>12</v>
      </c>
      <c r="I29" s="378" t="s">
        <v>331</v>
      </c>
      <c r="J29" s="382">
        <f t="shared" si="7"/>
        <v>40817111.400760673</v>
      </c>
    </row>
    <row r="30" spans="1:11" ht="21" customHeight="1" x14ac:dyDescent="0.35">
      <c r="A30" s="39" t="s">
        <v>674</v>
      </c>
      <c r="B30" s="57"/>
      <c r="C30" s="59">
        <v>609945211.35984373</v>
      </c>
      <c r="D30" s="59">
        <v>20002322.165180773</v>
      </c>
      <c r="E30" s="59">
        <v>9051063.5217811856</v>
      </c>
      <c r="F30" s="59">
        <v>65044357.055988148</v>
      </c>
      <c r="G30" s="60">
        <f t="shared" si="2"/>
        <v>704042954.10279393</v>
      </c>
      <c r="H30" s="380">
        <v>12</v>
      </c>
      <c r="I30" s="378" t="s">
        <v>331</v>
      </c>
      <c r="J30" s="382">
        <f t="shared" si="7"/>
        <v>58670246.175232828</v>
      </c>
    </row>
    <row r="31" spans="1:11" s="40" customFormat="1" ht="21" customHeight="1" x14ac:dyDescent="0.35">
      <c r="A31" s="58" t="s">
        <v>178</v>
      </c>
      <c r="B31" s="62">
        <f>SUM(B4:B30)</f>
        <v>671818865.51999998</v>
      </c>
      <c r="C31" s="62">
        <f>SUM(C4:C30)</f>
        <v>2223079987.8199987</v>
      </c>
      <c r="D31" s="62">
        <f t="shared" ref="D31:F31" si="8">SUM(D4:D30)</f>
        <v>321408392.42999995</v>
      </c>
      <c r="E31" s="62">
        <f t="shared" si="8"/>
        <v>310896069.69999999</v>
      </c>
      <c r="F31" s="62">
        <f t="shared" si="8"/>
        <v>184840671.83999974</v>
      </c>
      <c r="G31" s="62">
        <f>SUM(G4:G30)</f>
        <v>3040225121.7899981</v>
      </c>
      <c r="H31" s="63"/>
      <c r="I31" s="63"/>
      <c r="J31" s="63"/>
    </row>
    <row r="33" spans="1:10" hidden="1" x14ac:dyDescent="0.35">
      <c r="B33" s="65"/>
      <c r="C33" s="52">
        <v>2469</v>
      </c>
    </row>
    <row r="34" spans="1:10" hidden="1" x14ac:dyDescent="0.35">
      <c r="A34" s="67"/>
      <c r="C34" s="65">
        <v>31693244.869789552</v>
      </c>
      <c r="D34" s="65">
        <v>15638780.991756925</v>
      </c>
      <c r="E34" s="65">
        <v>5733993.6736655571</v>
      </c>
      <c r="F34" s="65">
        <v>4397191.4615414552</v>
      </c>
      <c r="G34" s="65">
        <f>SUM(C34:F34)</f>
        <v>57463210.996753499</v>
      </c>
      <c r="H34" s="67"/>
      <c r="I34" s="67"/>
    </row>
    <row r="35" spans="1:10" hidden="1" x14ac:dyDescent="0.35">
      <c r="A35" s="67"/>
      <c r="B35" s="66"/>
      <c r="C35" s="65">
        <v>915832.78609903005</v>
      </c>
      <c r="D35" s="65">
        <v>328996.12043159269</v>
      </c>
      <c r="E35" s="65">
        <v>38558.698777977763</v>
      </c>
      <c r="F35" s="65">
        <v>127559.31672350359</v>
      </c>
      <c r="G35" s="65">
        <f t="shared" ref="G35:G39" si="9">SUM(C35:F35)</f>
        <v>1410946.9220321043</v>
      </c>
      <c r="H35" s="67"/>
      <c r="I35" s="67"/>
    </row>
    <row r="36" spans="1:10" hidden="1" x14ac:dyDescent="0.35">
      <c r="A36" s="67"/>
      <c r="C36" s="69">
        <v>282093.76444829634</v>
      </c>
      <c r="D36" s="65">
        <v>34703.081693917833</v>
      </c>
      <c r="E36" s="65">
        <v>120242.74813645009</v>
      </c>
      <c r="F36" s="65">
        <v>27449.612591291556</v>
      </c>
      <c r="G36" s="65">
        <f t="shared" si="9"/>
        <v>464489.20686995576</v>
      </c>
      <c r="H36" s="67"/>
      <c r="I36" s="67"/>
    </row>
    <row r="37" spans="1:10" hidden="1" x14ac:dyDescent="0.35">
      <c r="A37" s="67"/>
      <c r="C37" s="69">
        <v>23852819.785921238</v>
      </c>
      <c r="D37" s="65">
        <v>662123.93870129762</v>
      </c>
      <c r="E37" s="65">
        <v>1496804.4064537955</v>
      </c>
      <c r="F37" s="69">
        <v>444260.83601576951</v>
      </c>
      <c r="G37" s="65">
        <f t="shared" si="9"/>
        <v>26456008.967092101</v>
      </c>
      <c r="H37" s="67"/>
      <c r="I37" s="67"/>
    </row>
    <row r="38" spans="1:10" hidden="1" x14ac:dyDescent="0.35">
      <c r="A38" s="67"/>
      <c r="C38" s="69">
        <v>2490748.9132385398</v>
      </c>
      <c r="D38" s="65">
        <v>867583.60071336268</v>
      </c>
      <c r="E38" s="65">
        <v>624916.68583723914</v>
      </c>
      <c r="F38" s="69">
        <v>355037.71541768807</v>
      </c>
      <c r="G38" s="65">
        <f t="shared" si="9"/>
        <v>4338286.9152068291</v>
      </c>
    </row>
    <row r="39" spans="1:10" hidden="1" x14ac:dyDescent="0.35">
      <c r="A39" s="67"/>
      <c r="C39" s="69">
        <v>37142638.671689302</v>
      </c>
      <c r="D39" s="69">
        <v>100765215.1873676</v>
      </c>
      <c r="E39" s="69">
        <v>42629970.130545594</v>
      </c>
      <c r="F39" s="69">
        <v>31559245.902469516</v>
      </c>
      <c r="G39" s="65">
        <f t="shared" si="9"/>
        <v>212097069.89207199</v>
      </c>
    </row>
    <row r="40" spans="1:10" hidden="1" x14ac:dyDescent="0.35">
      <c r="A40" s="68"/>
      <c r="B40" s="68"/>
      <c r="C40" s="70">
        <f>SUM(C34:C39)</f>
        <v>96377378.79118596</v>
      </c>
      <c r="D40" s="70">
        <f t="shared" ref="D40:G40" si="10">SUM(D34:D39)</f>
        <v>118297402.9206647</v>
      </c>
      <c r="E40" s="70">
        <f t="shared" si="10"/>
        <v>50644486.343416616</v>
      </c>
      <c r="F40" s="70">
        <f t="shared" si="10"/>
        <v>36910744.844759226</v>
      </c>
      <c r="G40" s="70">
        <f t="shared" si="10"/>
        <v>302230012.9000265</v>
      </c>
      <c r="H40" s="68"/>
      <c r="I40" s="68"/>
      <c r="J40" s="68"/>
    </row>
    <row r="41" spans="1:10" hidden="1" x14ac:dyDescent="0.35">
      <c r="H41" s="68"/>
    </row>
    <row r="42" spans="1:10" hidden="1" x14ac:dyDescent="0.35">
      <c r="C42" s="52">
        <v>2470</v>
      </c>
    </row>
    <row r="43" spans="1:10" hidden="1" x14ac:dyDescent="0.35">
      <c r="C43" s="65">
        <v>8284640.5435093278</v>
      </c>
      <c r="D43" s="65">
        <v>3371648.1556397756</v>
      </c>
      <c r="E43" s="65">
        <v>1833123.3316467949</v>
      </c>
      <c r="F43" s="65">
        <v>930424.21880528471</v>
      </c>
      <c r="G43" s="65">
        <v>14419836.249601183</v>
      </c>
    </row>
    <row r="44" spans="1:10" hidden="1" x14ac:dyDescent="0.35">
      <c r="C44" s="65">
        <v>7415497.5666968105</v>
      </c>
      <c r="D44" s="65">
        <v>900618.76374110475</v>
      </c>
      <c r="E44" s="65">
        <v>3120555.0023086974</v>
      </c>
      <c r="F44" s="65">
        <v>712375.81651067198</v>
      </c>
      <c r="G44" s="65">
        <v>12149047.149257286</v>
      </c>
    </row>
    <row r="45" spans="1:10" hidden="1" x14ac:dyDescent="0.35">
      <c r="C45" s="71">
        <f>SUM(C43:C44)</f>
        <v>15700138.110206138</v>
      </c>
      <c r="D45" s="71">
        <f t="shared" ref="D45:G45" si="11">SUM(D43:D44)</f>
        <v>4272266.91938088</v>
      </c>
      <c r="E45" s="71">
        <f t="shared" si="11"/>
        <v>4953678.3339554928</v>
      </c>
      <c r="F45" s="71">
        <f t="shared" si="11"/>
        <v>1642800.0353159567</v>
      </c>
      <c r="G45" s="71">
        <f t="shared" si="11"/>
        <v>26568883.398858469</v>
      </c>
    </row>
    <row r="46" spans="1:10" hidden="1" x14ac:dyDescent="0.35"/>
    <row r="47" spans="1:10" hidden="1" x14ac:dyDescent="0.35">
      <c r="C47" s="52">
        <v>2471</v>
      </c>
    </row>
    <row r="48" spans="1:10" hidden="1" x14ac:dyDescent="0.35">
      <c r="C48" s="65">
        <v>15948637.51547116</v>
      </c>
      <c r="D48" s="65">
        <v>722808.62155799172</v>
      </c>
      <c r="E48" s="65">
        <v>7791212.496419834</v>
      </c>
      <c r="F48" s="65">
        <v>601154.21534560458</v>
      </c>
      <c r="G48" s="65">
        <v>25063812.848794594</v>
      </c>
    </row>
    <row r="49" spans="3:7" hidden="1" x14ac:dyDescent="0.35">
      <c r="C49" s="65">
        <v>23084396.060721748</v>
      </c>
      <c r="D49" s="65">
        <v>1274386.8724180516</v>
      </c>
      <c r="E49" s="65">
        <v>15750812.850456843</v>
      </c>
      <c r="F49" s="65">
        <v>1166321.244912979</v>
      </c>
      <c r="G49" s="65">
        <v>41275917.028509624</v>
      </c>
    </row>
    <row r="50" spans="3:7" hidden="1" x14ac:dyDescent="0.35">
      <c r="C50" s="65">
        <v>43241924.12718527</v>
      </c>
      <c r="D50" s="65">
        <v>1150306.6312008251</v>
      </c>
      <c r="E50" s="65">
        <v>14217240.353634257</v>
      </c>
      <c r="F50" s="65">
        <v>1052762.7764935826</v>
      </c>
      <c r="G50" s="65">
        <v>59662233.888513938</v>
      </c>
    </row>
    <row r="51" spans="3:7" hidden="1" x14ac:dyDescent="0.35">
      <c r="C51" s="65">
        <v>2761445.0999999996</v>
      </c>
      <c r="D51" s="65">
        <v>0</v>
      </c>
      <c r="E51" s="65">
        <v>0</v>
      </c>
      <c r="F51" s="65">
        <v>0</v>
      </c>
      <c r="G51" s="65">
        <v>2761445.0999999996</v>
      </c>
    </row>
    <row r="52" spans="3:7" hidden="1" x14ac:dyDescent="0.35">
      <c r="C52" s="65">
        <v>45865872.898430608</v>
      </c>
      <c r="D52" s="65">
        <v>142298.10412007602</v>
      </c>
      <c r="E52" s="65">
        <v>493048.86652194517</v>
      </c>
      <c r="F52" s="65">
        <v>112555.64750769493</v>
      </c>
      <c r="G52" s="65">
        <v>46613775.516580328</v>
      </c>
    </row>
    <row r="53" spans="3:7" hidden="1" x14ac:dyDescent="0.35">
      <c r="C53" s="65">
        <v>11672005.510962337</v>
      </c>
      <c r="D53" s="65">
        <v>2295930.2297642701</v>
      </c>
      <c r="E53" s="65">
        <v>1772808.810177034</v>
      </c>
      <c r="F53" s="65">
        <v>4216913.0926347105</v>
      </c>
      <c r="G53" s="65">
        <v>19957657.643538352</v>
      </c>
    </row>
    <row r="54" spans="3:7" hidden="1" x14ac:dyDescent="0.35">
      <c r="C54" s="70">
        <f>SUM(C48:C53)</f>
        <v>142574281.21277112</v>
      </c>
      <c r="D54" s="70">
        <f>SUM(D48:D53)</f>
        <v>5585730.4590612147</v>
      </c>
      <c r="E54" s="70">
        <f>SUM(E48:E53)</f>
        <v>40025123.377209917</v>
      </c>
      <c r="F54" s="70">
        <f>SUM(F48:F53)</f>
        <v>7149706.9768945724</v>
      </c>
      <c r="G54" s="70">
        <f>SUM(G48:G53)</f>
        <v>195334842.02593684</v>
      </c>
    </row>
    <row r="55" spans="3:7" hidden="1" x14ac:dyDescent="0.35"/>
    <row r="56" spans="3:7" hidden="1" x14ac:dyDescent="0.35">
      <c r="C56" s="52">
        <v>2472</v>
      </c>
    </row>
    <row r="57" spans="3:7" hidden="1" x14ac:dyDescent="0.35">
      <c r="C57" s="65">
        <v>89729251.588707194</v>
      </c>
      <c r="D57" s="65">
        <v>6836983.2052565273</v>
      </c>
      <c r="E57" s="65">
        <v>1912318.0190286979</v>
      </c>
      <c r="F57" s="65">
        <v>4026105.5638824389</v>
      </c>
      <c r="G57" s="65">
        <v>102504658.37687485</v>
      </c>
    </row>
    <row r="58" spans="3:7" hidden="1" x14ac:dyDescent="0.35">
      <c r="C58" s="65">
        <v>336497955.32499701</v>
      </c>
      <c r="D58" s="65">
        <v>22670005.105122328</v>
      </c>
      <c r="E58" s="65">
        <v>172688206.25924194</v>
      </c>
      <c r="F58" s="65">
        <v>9269938.6740601044</v>
      </c>
      <c r="G58" s="65">
        <v>541126105.36342132</v>
      </c>
    </row>
    <row r="59" spans="3:7" hidden="1" x14ac:dyDescent="0.35">
      <c r="C59" s="65">
        <v>18395351.251941901</v>
      </c>
      <c r="D59" s="65">
        <v>11128948.53210495</v>
      </c>
      <c r="E59" s="65">
        <v>3417711.5622555162</v>
      </c>
      <c r="F59" s="65">
        <v>2726771.4284763467</v>
      </c>
      <c r="G59" s="65">
        <v>35668782.774778716</v>
      </c>
    </row>
    <row r="60" spans="3:7" hidden="1" x14ac:dyDescent="0.35">
      <c r="C60" s="65">
        <v>16411807.193575799</v>
      </c>
      <c r="D60" s="65">
        <v>5725535.4811051525</v>
      </c>
      <c r="E60" s="65">
        <v>669523.57562987448</v>
      </c>
      <c r="F60" s="65">
        <v>4927533.4668904385</v>
      </c>
      <c r="G60" s="65">
        <v>27734399.717201266</v>
      </c>
    </row>
    <row r="61" spans="3:7" hidden="1" x14ac:dyDescent="0.35">
      <c r="C61" s="65">
        <v>40253688.671626799</v>
      </c>
      <c r="D61" s="65">
        <v>3746910.0488717789</v>
      </c>
      <c r="E61" s="65">
        <v>800403.59796672873</v>
      </c>
      <c r="F61" s="65">
        <v>3208409.6423246586</v>
      </c>
      <c r="G61" s="65">
        <v>48009411.960789964</v>
      </c>
    </row>
    <row r="62" spans="3:7" hidden="1" x14ac:dyDescent="0.35">
      <c r="C62" s="71">
        <f>SUM(C57:C61)</f>
        <v>501288054.03084874</v>
      </c>
      <c r="D62" s="71">
        <f t="shared" ref="D62:G62" si="12">SUM(D57:D61)</f>
        <v>50108382.37246073</v>
      </c>
      <c r="E62" s="71">
        <f t="shared" si="12"/>
        <v>179488163.01412272</v>
      </c>
      <c r="F62" s="71">
        <f t="shared" si="12"/>
        <v>24158758.775633987</v>
      </c>
      <c r="G62" s="71">
        <f t="shared" si="12"/>
        <v>755043358.193066</v>
      </c>
    </row>
    <row r="63" spans="3:7" hidden="1" x14ac:dyDescent="0.35"/>
    <row r="64" spans="3:7" hidden="1" x14ac:dyDescent="0.35">
      <c r="C64" s="52">
        <v>2473</v>
      </c>
    </row>
    <row r="65" spans="3:9" hidden="1" x14ac:dyDescent="0.35">
      <c r="C65" s="65">
        <v>9592987.98577228</v>
      </c>
      <c r="D65" s="65">
        <v>1475782.1889439707</v>
      </c>
      <c r="E65" s="65">
        <v>341730.01965312613</v>
      </c>
      <c r="F65" s="65">
        <v>468938.26849140693</v>
      </c>
      <c r="G65" s="65">
        <v>11879438.462860785</v>
      </c>
    </row>
    <row r="66" spans="3:9" hidden="1" x14ac:dyDescent="0.35">
      <c r="C66" s="65">
        <v>330320422.05062366</v>
      </c>
      <c r="D66" s="65">
        <v>7128928.6219885265</v>
      </c>
      <c r="E66" s="65">
        <v>1077235.1671587301</v>
      </c>
      <c r="F66" s="65">
        <v>2058453.725001449</v>
      </c>
      <c r="G66" s="65">
        <v>340585039.56477237</v>
      </c>
    </row>
    <row r="67" spans="3:9" hidden="1" x14ac:dyDescent="0.35">
      <c r="C67" s="65">
        <v>4526128.0372801684</v>
      </c>
      <c r="D67" s="65">
        <v>42990.72857661506</v>
      </c>
      <c r="E67" s="65">
        <v>148958.62546254508</v>
      </c>
      <c r="F67" s="65">
        <v>34005.015890340212</v>
      </c>
      <c r="G67" s="65">
        <v>4752082.4072096692</v>
      </c>
    </row>
    <row r="68" spans="3:9" hidden="1" x14ac:dyDescent="0.35">
      <c r="C68" s="70">
        <f>SUM(C65:C67)</f>
        <v>344439538.07367605</v>
      </c>
      <c r="D68" s="70">
        <f t="shared" ref="D68:G68" si="13">SUM(D65:D67)</f>
        <v>8647701.539509112</v>
      </c>
      <c r="E68" s="70">
        <f t="shared" si="13"/>
        <v>1567923.8122744013</v>
      </c>
      <c r="F68" s="70">
        <f t="shared" si="13"/>
        <v>2561397.009383196</v>
      </c>
      <c r="G68" s="70">
        <f t="shared" si="13"/>
        <v>357216560.43484282</v>
      </c>
    </row>
    <row r="69" spans="3:9" hidden="1" x14ac:dyDescent="0.35"/>
    <row r="70" spans="3:9" hidden="1" x14ac:dyDescent="0.35">
      <c r="C70" s="52">
        <v>2474</v>
      </c>
    </row>
    <row r="71" spans="3:9" hidden="1" x14ac:dyDescent="0.35">
      <c r="C71" s="65">
        <v>2405804.6410329798</v>
      </c>
      <c r="D71" s="65">
        <v>818796.40803352173</v>
      </c>
      <c r="E71" s="65">
        <v>576810.91271512955</v>
      </c>
      <c r="F71" s="65">
        <v>352321.26968249248</v>
      </c>
      <c r="G71" s="65">
        <v>4153733.2314641238</v>
      </c>
    </row>
    <row r="72" spans="3:9" hidden="1" x14ac:dyDescent="0.35">
      <c r="C72" s="65">
        <v>169956.08276599005</v>
      </c>
      <c r="D72" s="65">
        <v>20497.263050993726</v>
      </c>
      <c r="E72" s="65">
        <v>71020.990592866117</v>
      </c>
      <c r="F72" s="65">
        <v>16213.024966891713</v>
      </c>
      <c r="G72" s="65">
        <v>277687.36137674161</v>
      </c>
    </row>
    <row r="73" spans="3:9" hidden="1" x14ac:dyDescent="0.35">
      <c r="C73" s="70">
        <f>SUM(C71:C72)</f>
        <v>2575760.7237989698</v>
      </c>
      <c r="D73" s="70">
        <f t="shared" ref="D73:G73" si="14">SUM(D71:D72)</f>
        <v>839293.6710845154</v>
      </c>
      <c r="E73" s="70">
        <f t="shared" si="14"/>
        <v>647831.90330799564</v>
      </c>
      <c r="F73" s="70">
        <f t="shared" si="14"/>
        <v>368534.29464938422</v>
      </c>
      <c r="G73" s="70">
        <f t="shared" si="14"/>
        <v>4431420.5928408653</v>
      </c>
    </row>
    <row r="74" spans="3:9" hidden="1" x14ac:dyDescent="0.35"/>
    <row r="75" spans="3:9" hidden="1" x14ac:dyDescent="0.35">
      <c r="C75" s="52">
        <v>2476</v>
      </c>
      <c r="G75" s="68"/>
    </row>
    <row r="76" spans="3:9" hidden="1" x14ac:dyDescent="0.35">
      <c r="C76" s="65">
        <v>143162171.01395401</v>
      </c>
      <c r="D76" s="65">
        <v>39622000.044848077</v>
      </c>
      <c r="E76" s="65">
        <v>10812381.498870891</v>
      </c>
      <c r="F76" s="65">
        <v>11955200.7748319</v>
      </c>
      <c r="G76" s="65">
        <f>SUM(C76:F76)</f>
        <v>205551753.33250487</v>
      </c>
    </row>
    <row r="77" spans="3:9" hidden="1" x14ac:dyDescent="0.35">
      <c r="C77" s="65">
        <f>367017454.503714-C82-C83</f>
        <v>351667547.96047056</v>
      </c>
      <c r="D77" s="65">
        <f>74033292.33781-D82-D83</f>
        <v>70009989.648523703</v>
      </c>
      <c r="E77" s="65">
        <f>13705417.8950607-E82-E83</f>
        <v>12782453.586166987</v>
      </c>
      <c r="F77" s="65">
        <f>35049172.0725434-F82-F83</f>
        <v>33683443.831474707</v>
      </c>
      <c r="G77" s="65">
        <f>SUM(C77:F77)</f>
        <v>468143435.02663594</v>
      </c>
    </row>
    <row r="78" spans="3:9" hidden="1" x14ac:dyDescent="0.35">
      <c r="C78" s="65">
        <f>609945211.359844-C84</f>
        <v>110738219.55594611</v>
      </c>
      <c r="D78" s="65">
        <f>20002322.1651808-D84</f>
        <v>12910451.824677546</v>
      </c>
      <c r="E78" s="65">
        <f>9051063.52178119-E84</f>
        <v>5850222.4256230071</v>
      </c>
      <c r="F78" s="65">
        <f>65044357.0559881-F84</f>
        <v>40283490.238200471</v>
      </c>
      <c r="G78" s="65">
        <f>SUM(C78:F78)</f>
        <v>169782384.04444712</v>
      </c>
    </row>
    <row r="79" spans="3:9" hidden="1" x14ac:dyDescent="0.35">
      <c r="C79" s="70">
        <f>SUM(C76:C78)</f>
        <v>605567938.53037071</v>
      </c>
      <c r="D79" s="70">
        <f t="shared" ref="D79:F79" si="15">SUM(D76:D78)</f>
        <v>122542441.51804931</v>
      </c>
      <c r="E79" s="70">
        <f t="shared" si="15"/>
        <v>29445057.510660887</v>
      </c>
      <c r="F79" s="70">
        <f t="shared" si="15"/>
        <v>85922134.844507068</v>
      </c>
      <c r="G79" s="70">
        <f>SUM(G76:G78)</f>
        <v>843477572.40358806</v>
      </c>
      <c r="H79" s="68">
        <f>SUM(G40+G45+G54+G62+G68+G73+G79)</f>
        <v>2484302649.9491596</v>
      </c>
      <c r="I79" s="68">
        <f>H79-G31</f>
        <v>-555922471.84083843</v>
      </c>
    </row>
    <row r="80" spans="3:9" hidden="1" x14ac:dyDescent="0.35"/>
    <row r="81" spans="3:7" hidden="1" x14ac:dyDescent="0.35">
      <c r="C81" s="52">
        <v>2475</v>
      </c>
    </row>
    <row r="82" spans="3:7" hidden="1" x14ac:dyDescent="0.35">
      <c r="C82" s="65">
        <v>1719964.8188423296</v>
      </c>
      <c r="D82" s="65">
        <v>431472.92548258137</v>
      </c>
      <c r="E82" s="65">
        <v>331890.27128156554</v>
      </c>
      <c r="F82" s="65">
        <v>304820.34270494245</v>
      </c>
      <c r="G82" s="65">
        <v>2788148.3583114189</v>
      </c>
    </row>
    <row r="83" spans="3:7" hidden="1" x14ac:dyDescent="0.35">
      <c r="C83" s="65">
        <v>13629941.724401109</v>
      </c>
      <c r="D83" s="65">
        <v>3591829.7638037018</v>
      </c>
      <c r="E83" s="65">
        <v>591074.03761214565</v>
      </c>
      <c r="F83" s="65">
        <v>1060907.8983637465</v>
      </c>
      <c r="G83" s="65">
        <v>18873753.424180701</v>
      </c>
    </row>
    <row r="84" spans="3:7" hidden="1" x14ac:dyDescent="0.35">
      <c r="C84" s="65">
        <v>499206991.80389786</v>
      </c>
      <c r="D84" s="65">
        <v>7091870.3405032521</v>
      </c>
      <c r="E84" s="65">
        <v>3200841.0961581818</v>
      </c>
      <c r="F84" s="65">
        <v>24760866.817787629</v>
      </c>
      <c r="G84" s="65">
        <v>534260570.05834699</v>
      </c>
    </row>
    <row r="85" spans="3:7" hidden="1" x14ac:dyDescent="0.35">
      <c r="C85" s="70">
        <f>SUM(C82:C84)</f>
        <v>514556898.34714127</v>
      </c>
      <c r="D85" s="70">
        <f t="shared" ref="D85:F85" si="16">SUM(D82:D84)</f>
        <v>11115173.029789535</v>
      </c>
      <c r="E85" s="70">
        <f t="shared" si="16"/>
        <v>4123805.4050518931</v>
      </c>
      <c r="F85" s="70">
        <f t="shared" si="16"/>
        <v>26126595.058856316</v>
      </c>
      <c r="G85" s="70">
        <f>SUM(G82:G84)</f>
        <v>555922471.84083915</v>
      </c>
    </row>
    <row r="86" spans="3:7" hidden="1" x14ac:dyDescent="0.35">
      <c r="G86" s="68">
        <f>SUM(G85+G79+G73+G68+G62+G54+G45+G40)</f>
        <v>3040225121.7899985</v>
      </c>
    </row>
    <row r="87" spans="3:7" hidden="1" x14ac:dyDescent="0.35"/>
    <row r="88" spans="3:7" hidden="1" x14ac:dyDescent="0.35"/>
  </sheetData>
  <printOptions horizontalCentered="1"/>
  <pageMargins left="0.11811023622047245" right="0.11811023622047245" top="0.35433070866141736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defaultRowHeight="19.5" x14ac:dyDescent="0.3"/>
  <cols>
    <col min="1" max="1" width="39.28515625" style="76" customWidth="1"/>
    <col min="2" max="2" width="18.140625" style="72" bestFit="1" customWidth="1"/>
    <col min="3" max="3" width="16.7109375" style="72" customWidth="1"/>
    <col min="4" max="4" width="15" style="72" bestFit="1" customWidth="1"/>
    <col min="5" max="5" width="15.28515625" style="72" bestFit="1" customWidth="1"/>
    <col min="6" max="6" width="18.140625" style="73" bestFit="1" customWidth="1"/>
    <col min="7" max="7" width="8.85546875" style="74" bestFit="1" customWidth="1"/>
    <col min="8" max="8" width="9.28515625" style="75" customWidth="1"/>
    <col min="9" max="9" width="13.5703125" style="76" bestFit="1" customWidth="1"/>
    <col min="10" max="255" width="9.140625" style="76"/>
    <col min="256" max="256" width="39.28515625" style="76" customWidth="1"/>
    <col min="257" max="257" width="9.140625" style="76" customWidth="1"/>
    <col min="258" max="258" width="18.140625" style="76" bestFit="1" customWidth="1"/>
    <col min="259" max="259" width="16.7109375" style="76" customWidth="1"/>
    <col min="260" max="262" width="14" style="76" customWidth="1"/>
    <col min="263" max="263" width="10.28515625" style="76" customWidth="1"/>
    <col min="264" max="264" width="12.5703125" style="76" customWidth="1"/>
    <col min="265" max="265" width="14.5703125" style="76" bestFit="1" customWidth="1"/>
    <col min="266" max="511" width="9.140625" style="76"/>
    <col min="512" max="512" width="39.28515625" style="76" customWidth="1"/>
    <col min="513" max="513" width="9.140625" style="76" customWidth="1"/>
    <col min="514" max="514" width="18.140625" style="76" bestFit="1" customWidth="1"/>
    <col min="515" max="515" width="16.7109375" style="76" customWidth="1"/>
    <col min="516" max="518" width="14" style="76" customWidth="1"/>
    <col min="519" max="519" width="10.28515625" style="76" customWidth="1"/>
    <col min="520" max="520" width="12.5703125" style="76" customWidth="1"/>
    <col min="521" max="521" width="14.5703125" style="76" bestFit="1" customWidth="1"/>
    <col min="522" max="767" width="9.140625" style="76"/>
    <col min="768" max="768" width="39.28515625" style="76" customWidth="1"/>
    <col min="769" max="769" width="9.140625" style="76" customWidth="1"/>
    <col min="770" max="770" width="18.140625" style="76" bestFit="1" customWidth="1"/>
    <col min="771" max="771" width="16.7109375" style="76" customWidth="1"/>
    <col min="772" max="774" width="14" style="76" customWidth="1"/>
    <col min="775" max="775" width="10.28515625" style="76" customWidth="1"/>
    <col min="776" max="776" width="12.5703125" style="76" customWidth="1"/>
    <col min="777" max="777" width="14.5703125" style="76" bestFit="1" customWidth="1"/>
    <col min="778" max="1023" width="9.140625" style="76"/>
    <col min="1024" max="1024" width="39.28515625" style="76" customWidth="1"/>
    <col min="1025" max="1025" width="9.140625" style="76" customWidth="1"/>
    <col min="1026" max="1026" width="18.140625" style="76" bestFit="1" customWidth="1"/>
    <col min="1027" max="1027" width="16.7109375" style="76" customWidth="1"/>
    <col min="1028" max="1030" width="14" style="76" customWidth="1"/>
    <col min="1031" max="1031" width="10.28515625" style="76" customWidth="1"/>
    <col min="1032" max="1032" width="12.5703125" style="76" customWidth="1"/>
    <col min="1033" max="1033" width="14.5703125" style="76" bestFit="1" customWidth="1"/>
    <col min="1034" max="1279" width="9.140625" style="76"/>
    <col min="1280" max="1280" width="39.28515625" style="76" customWidth="1"/>
    <col min="1281" max="1281" width="9.140625" style="76" customWidth="1"/>
    <col min="1282" max="1282" width="18.140625" style="76" bestFit="1" customWidth="1"/>
    <col min="1283" max="1283" width="16.7109375" style="76" customWidth="1"/>
    <col min="1284" max="1286" width="14" style="76" customWidth="1"/>
    <col min="1287" max="1287" width="10.28515625" style="76" customWidth="1"/>
    <col min="1288" max="1288" width="12.5703125" style="76" customWidth="1"/>
    <col min="1289" max="1289" width="14.5703125" style="76" bestFit="1" customWidth="1"/>
    <col min="1290" max="1535" width="9.140625" style="76"/>
    <col min="1536" max="1536" width="39.28515625" style="76" customWidth="1"/>
    <col min="1537" max="1537" width="9.140625" style="76" customWidth="1"/>
    <col min="1538" max="1538" width="18.140625" style="76" bestFit="1" customWidth="1"/>
    <col min="1539" max="1539" width="16.7109375" style="76" customWidth="1"/>
    <col min="1540" max="1542" width="14" style="76" customWidth="1"/>
    <col min="1543" max="1543" width="10.28515625" style="76" customWidth="1"/>
    <col min="1544" max="1544" width="12.5703125" style="76" customWidth="1"/>
    <col min="1545" max="1545" width="14.5703125" style="76" bestFit="1" customWidth="1"/>
    <col min="1546" max="1791" width="9.140625" style="76"/>
    <col min="1792" max="1792" width="39.28515625" style="76" customWidth="1"/>
    <col min="1793" max="1793" width="9.140625" style="76" customWidth="1"/>
    <col min="1794" max="1794" width="18.140625" style="76" bestFit="1" customWidth="1"/>
    <col min="1795" max="1795" width="16.7109375" style="76" customWidth="1"/>
    <col min="1796" max="1798" width="14" style="76" customWidth="1"/>
    <col min="1799" max="1799" width="10.28515625" style="76" customWidth="1"/>
    <col min="1800" max="1800" width="12.5703125" style="76" customWidth="1"/>
    <col min="1801" max="1801" width="14.5703125" style="76" bestFit="1" customWidth="1"/>
    <col min="1802" max="2047" width="9.140625" style="76"/>
    <col min="2048" max="2048" width="39.28515625" style="76" customWidth="1"/>
    <col min="2049" max="2049" width="9.140625" style="76" customWidth="1"/>
    <col min="2050" max="2050" width="18.140625" style="76" bestFit="1" customWidth="1"/>
    <col min="2051" max="2051" width="16.7109375" style="76" customWidth="1"/>
    <col min="2052" max="2054" width="14" style="76" customWidth="1"/>
    <col min="2055" max="2055" width="10.28515625" style="76" customWidth="1"/>
    <col min="2056" max="2056" width="12.5703125" style="76" customWidth="1"/>
    <col min="2057" max="2057" width="14.5703125" style="76" bestFit="1" customWidth="1"/>
    <col min="2058" max="2303" width="9.140625" style="76"/>
    <col min="2304" max="2304" width="39.28515625" style="76" customWidth="1"/>
    <col min="2305" max="2305" width="9.140625" style="76" customWidth="1"/>
    <col min="2306" max="2306" width="18.140625" style="76" bestFit="1" customWidth="1"/>
    <col min="2307" max="2307" width="16.7109375" style="76" customWidth="1"/>
    <col min="2308" max="2310" width="14" style="76" customWidth="1"/>
    <col min="2311" max="2311" width="10.28515625" style="76" customWidth="1"/>
    <col min="2312" max="2312" width="12.5703125" style="76" customWidth="1"/>
    <col min="2313" max="2313" width="14.5703125" style="76" bestFit="1" customWidth="1"/>
    <col min="2314" max="2559" width="9.140625" style="76"/>
    <col min="2560" max="2560" width="39.28515625" style="76" customWidth="1"/>
    <col min="2561" max="2561" width="9.140625" style="76" customWidth="1"/>
    <col min="2562" max="2562" width="18.140625" style="76" bestFit="1" customWidth="1"/>
    <col min="2563" max="2563" width="16.7109375" style="76" customWidth="1"/>
    <col min="2564" max="2566" width="14" style="76" customWidth="1"/>
    <col min="2567" max="2567" width="10.28515625" style="76" customWidth="1"/>
    <col min="2568" max="2568" width="12.5703125" style="76" customWidth="1"/>
    <col min="2569" max="2569" width="14.5703125" style="76" bestFit="1" customWidth="1"/>
    <col min="2570" max="2815" width="9.140625" style="76"/>
    <col min="2816" max="2816" width="39.28515625" style="76" customWidth="1"/>
    <col min="2817" max="2817" width="9.140625" style="76" customWidth="1"/>
    <col min="2818" max="2818" width="18.140625" style="76" bestFit="1" customWidth="1"/>
    <col min="2819" max="2819" width="16.7109375" style="76" customWidth="1"/>
    <col min="2820" max="2822" width="14" style="76" customWidth="1"/>
    <col min="2823" max="2823" width="10.28515625" style="76" customWidth="1"/>
    <col min="2824" max="2824" width="12.5703125" style="76" customWidth="1"/>
    <col min="2825" max="2825" width="14.5703125" style="76" bestFit="1" customWidth="1"/>
    <col min="2826" max="3071" width="9.140625" style="76"/>
    <col min="3072" max="3072" width="39.28515625" style="76" customWidth="1"/>
    <col min="3073" max="3073" width="9.140625" style="76" customWidth="1"/>
    <col min="3074" max="3074" width="18.140625" style="76" bestFit="1" customWidth="1"/>
    <col min="3075" max="3075" width="16.7109375" style="76" customWidth="1"/>
    <col min="3076" max="3078" width="14" style="76" customWidth="1"/>
    <col min="3079" max="3079" width="10.28515625" style="76" customWidth="1"/>
    <col min="3080" max="3080" width="12.5703125" style="76" customWidth="1"/>
    <col min="3081" max="3081" width="14.5703125" style="76" bestFit="1" customWidth="1"/>
    <col min="3082" max="3327" width="9.140625" style="76"/>
    <col min="3328" max="3328" width="39.28515625" style="76" customWidth="1"/>
    <col min="3329" max="3329" width="9.140625" style="76" customWidth="1"/>
    <col min="3330" max="3330" width="18.140625" style="76" bestFit="1" customWidth="1"/>
    <col min="3331" max="3331" width="16.7109375" style="76" customWidth="1"/>
    <col min="3332" max="3334" width="14" style="76" customWidth="1"/>
    <col min="3335" max="3335" width="10.28515625" style="76" customWidth="1"/>
    <col min="3336" max="3336" width="12.5703125" style="76" customWidth="1"/>
    <col min="3337" max="3337" width="14.5703125" style="76" bestFit="1" customWidth="1"/>
    <col min="3338" max="3583" width="9.140625" style="76"/>
    <col min="3584" max="3584" width="39.28515625" style="76" customWidth="1"/>
    <col min="3585" max="3585" width="9.140625" style="76" customWidth="1"/>
    <col min="3586" max="3586" width="18.140625" style="76" bestFit="1" customWidth="1"/>
    <col min="3587" max="3587" width="16.7109375" style="76" customWidth="1"/>
    <col min="3588" max="3590" width="14" style="76" customWidth="1"/>
    <col min="3591" max="3591" width="10.28515625" style="76" customWidth="1"/>
    <col min="3592" max="3592" width="12.5703125" style="76" customWidth="1"/>
    <col min="3593" max="3593" width="14.5703125" style="76" bestFit="1" customWidth="1"/>
    <col min="3594" max="3839" width="9.140625" style="76"/>
    <col min="3840" max="3840" width="39.28515625" style="76" customWidth="1"/>
    <col min="3841" max="3841" width="9.140625" style="76" customWidth="1"/>
    <col min="3842" max="3842" width="18.140625" style="76" bestFit="1" customWidth="1"/>
    <col min="3843" max="3843" width="16.7109375" style="76" customWidth="1"/>
    <col min="3844" max="3846" width="14" style="76" customWidth="1"/>
    <col min="3847" max="3847" width="10.28515625" style="76" customWidth="1"/>
    <col min="3848" max="3848" width="12.5703125" style="76" customWidth="1"/>
    <col min="3849" max="3849" width="14.5703125" style="76" bestFit="1" customWidth="1"/>
    <col min="3850" max="4095" width="9.140625" style="76"/>
    <col min="4096" max="4096" width="39.28515625" style="76" customWidth="1"/>
    <col min="4097" max="4097" width="9.140625" style="76" customWidth="1"/>
    <col min="4098" max="4098" width="18.140625" style="76" bestFit="1" customWidth="1"/>
    <col min="4099" max="4099" width="16.7109375" style="76" customWidth="1"/>
    <col min="4100" max="4102" width="14" style="76" customWidth="1"/>
    <col min="4103" max="4103" width="10.28515625" style="76" customWidth="1"/>
    <col min="4104" max="4104" width="12.5703125" style="76" customWidth="1"/>
    <col min="4105" max="4105" width="14.5703125" style="76" bestFit="1" customWidth="1"/>
    <col min="4106" max="4351" width="9.140625" style="76"/>
    <col min="4352" max="4352" width="39.28515625" style="76" customWidth="1"/>
    <col min="4353" max="4353" width="9.140625" style="76" customWidth="1"/>
    <col min="4354" max="4354" width="18.140625" style="76" bestFit="1" customWidth="1"/>
    <col min="4355" max="4355" width="16.7109375" style="76" customWidth="1"/>
    <col min="4356" max="4358" width="14" style="76" customWidth="1"/>
    <col min="4359" max="4359" width="10.28515625" style="76" customWidth="1"/>
    <col min="4360" max="4360" width="12.5703125" style="76" customWidth="1"/>
    <col min="4361" max="4361" width="14.5703125" style="76" bestFit="1" customWidth="1"/>
    <col min="4362" max="4607" width="9.140625" style="76"/>
    <col min="4608" max="4608" width="39.28515625" style="76" customWidth="1"/>
    <col min="4609" max="4609" width="9.140625" style="76" customWidth="1"/>
    <col min="4610" max="4610" width="18.140625" style="76" bestFit="1" customWidth="1"/>
    <col min="4611" max="4611" width="16.7109375" style="76" customWidth="1"/>
    <col min="4612" max="4614" width="14" style="76" customWidth="1"/>
    <col min="4615" max="4615" width="10.28515625" style="76" customWidth="1"/>
    <col min="4616" max="4616" width="12.5703125" style="76" customWidth="1"/>
    <col min="4617" max="4617" width="14.5703125" style="76" bestFit="1" customWidth="1"/>
    <col min="4618" max="4863" width="9.140625" style="76"/>
    <col min="4864" max="4864" width="39.28515625" style="76" customWidth="1"/>
    <col min="4865" max="4865" width="9.140625" style="76" customWidth="1"/>
    <col min="4866" max="4866" width="18.140625" style="76" bestFit="1" customWidth="1"/>
    <col min="4867" max="4867" width="16.7109375" style="76" customWidth="1"/>
    <col min="4868" max="4870" width="14" style="76" customWidth="1"/>
    <col min="4871" max="4871" width="10.28515625" style="76" customWidth="1"/>
    <col min="4872" max="4872" width="12.5703125" style="76" customWidth="1"/>
    <col min="4873" max="4873" width="14.5703125" style="76" bestFit="1" customWidth="1"/>
    <col min="4874" max="5119" width="9.140625" style="76"/>
    <col min="5120" max="5120" width="39.28515625" style="76" customWidth="1"/>
    <col min="5121" max="5121" width="9.140625" style="76" customWidth="1"/>
    <col min="5122" max="5122" width="18.140625" style="76" bestFit="1" customWidth="1"/>
    <col min="5123" max="5123" width="16.7109375" style="76" customWidth="1"/>
    <col min="5124" max="5126" width="14" style="76" customWidth="1"/>
    <col min="5127" max="5127" width="10.28515625" style="76" customWidth="1"/>
    <col min="5128" max="5128" width="12.5703125" style="76" customWidth="1"/>
    <col min="5129" max="5129" width="14.5703125" style="76" bestFit="1" customWidth="1"/>
    <col min="5130" max="5375" width="9.140625" style="76"/>
    <col min="5376" max="5376" width="39.28515625" style="76" customWidth="1"/>
    <col min="5377" max="5377" width="9.140625" style="76" customWidth="1"/>
    <col min="5378" max="5378" width="18.140625" style="76" bestFit="1" customWidth="1"/>
    <col min="5379" max="5379" width="16.7109375" style="76" customWidth="1"/>
    <col min="5380" max="5382" width="14" style="76" customWidth="1"/>
    <col min="5383" max="5383" width="10.28515625" style="76" customWidth="1"/>
    <col min="5384" max="5384" width="12.5703125" style="76" customWidth="1"/>
    <col min="5385" max="5385" width="14.5703125" style="76" bestFit="1" customWidth="1"/>
    <col min="5386" max="5631" width="9.140625" style="76"/>
    <col min="5632" max="5632" width="39.28515625" style="76" customWidth="1"/>
    <col min="5633" max="5633" width="9.140625" style="76" customWidth="1"/>
    <col min="5634" max="5634" width="18.140625" style="76" bestFit="1" customWidth="1"/>
    <col min="5635" max="5635" width="16.7109375" style="76" customWidth="1"/>
    <col min="5636" max="5638" width="14" style="76" customWidth="1"/>
    <col min="5639" max="5639" width="10.28515625" style="76" customWidth="1"/>
    <col min="5640" max="5640" width="12.5703125" style="76" customWidth="1"/>
    <col min="5641" max="5641" width="14.5703125" style="76" bestFit="1" customWidth="1"/>
    <col min="5642" max="5887" width="9.140625" style="76"/>
    <col min="5888" max="5888" width="39.28515625" style="76" customWidth="1"/>
    <col min="5889" max="5889" width="9.140625" style="76" customWidth="1"/>
    <col min="5890" max="5890" width="18.140625" style="76" bestFit="1" customWidth="1"/>
    <col min="5891" max="5891" width="16.7109375" style="76" customWidth="1"/>
    <col min="5892" max="5894" width="14" style="76" customWidth="1"/>
    <col min="5895" max="5895" width="10.28515625" style="76" customWidth="1"/>
    <col min="5896" max="5896" width="12.5703125" style="76" customWidth="1"/>
    <col min="5897" max="5897" width="14.5703125" style="76" bestFit="1" customWidth="1"/>
    <col min="5898" max="6143" width="9.140625" style="76"/>
    <col min="6144" max="6144" width="39.28515625" style="76" customWidth="1"/>
    <col min="6145" max="6145" width="9.140625" style="76" customWidth="1"/>
    <col min="6146" max="6146" width="18.140625" style="76" bestFit="1" customWidth="1"/>
    <col min="6147" max="6147" width="16.7109375" style="76" customWidth="1"/>
    <col min="6148" max="6150" width="14" style="76" customWidth="1"/>
    <col min="6151" max="6151" width="10.28515625" style="76" customWidth="1"/>
    <col min="6152" max="6152" width="12.5703125" style="76" customWidth="1"/>
    <col min="6153" max="6153" width="14.5703125" style="76" bestFit="1" customWidth="1"/>
    <col min="6154" max="6399" width="9.140625" style="76"/>
    <col min="6400" max="6400" width="39.28515625" style="76" customWidth="1"/>
    <col min="6401" max="6401" width="9.140625" style="76" customWidth="1"/>
    <col min="6402" max="6402" width="18.140625" style="76" bestFit="1" customWidth="1"/>
    <col min="6403" max="6403" width="16.7109375" style="76" customWidth="1"/>
    <col min="6404" max="6406" width="14" style="76" customWidth="1"/>
    <col min="6407" max="6407" width="10.28515625" style="76" customWidth="1"/>
    <col min="6408" max="6408" width="12.5703125" style="76" customWidth="1"/>
    <col min="6409" max="6409" width="14.5703125" style="76" bestFit="1" customWidth="1"/>
    <col min="6410" max="6655" width="9.140625" style="76"/>
    <col min="6656" max="6656" width="39.28515625" style="76" customWidth="1"/>
    <col min="6657" max="6657" width="9.140625" style="76" customWidth="1"/>
    <col min="6658" max="6658" width="18.140625" style="76" bestFit="1" customWidth="1"/>
    <col min="6659" max="6659" width="16.7109375" style="76" customWidth="1"/>
    <col min="6660" max="6662" width="14" style="76" customWidth="1"/>
    <col min="6663" max="6663" width="10.28515625" style="76" customWidth="1"/>
    <col min="6664" max="6664" width="12.5703125" style="76" customWidth="1"/>
    <col min="6665" max="6665" width="14.5703125" style="76" bestFit="1" customWidth="1"/>
    <col min="6666" max="6911" width="9.140625" style="76"/>
    <col min="6912" max="6912" width="39.28515625" style="76" customWidth="1"/>
    <col min="6913" max="6913" width="9.140625" style="76" customWidth="1"/>
    <col min="6914" max="6914" width="18.140625" style="76" bestFit="1" customWidth="1"/>
    <col min="6915" max="6915" width="16.7109375" style="76" customWidth="1"/>
    <col min="6916" max="6918" width="14" style="76" customWidth="1"/>
    <col min="6919" max="6919" width="10.28515625" style="76" customWidth="1"/>
    <col min="6920" max="6920" width="12.5703125" style="76" customWidth="1"/>
    <col min="6921" max="6921" width="14.5703125" style="76" bestFit="1" customWidth="1"/>
    <col min="6922" max="7167" width="9.140625" style="76"/>
    <col min="7168" max="7168" width="39.28515625" style="76" customWidth="1"/>
    <col min="7169" max="7169" width="9.140625" style="76" customWidth="1"/>
    <col min="7170" max="7170" width="18.140625" style="76" bestFit="1" customWidth="1"/>
    <col min="7171" max="7171" width="16.7109375" style="76" customWidth="1"/>
    <col min="7172" max="7174" width="14" style="76" customWidth="1"/>
    <col min="7175" max="7175" width="10.28515625" style="76" customWidth="1"/>
    <col min="7176" max="7176" width="12.5703125" style="76" customWidth="1"/>
    <col min="7177" max="7177" width="14.5703125" style="76" bestFit="1" customWidth="1"/>
    <col min="7178" max="7423" width="9.140625" style="76"/>
    <col min="7424" max="7424" width="39.28515625" style="76" customWidth="1"/>
    <col min="7425" max="7425" width="9.140625" style="76" customWidth="1"/>
    <col min="7426" max="7426" width="18.140625" style="76" bestFit="1" customWidth="1"/>
    <col min="7427" max="7427" width="16.7109375" style="76" customWidth="1"/>
    <col min="7428" max="7430" width="14" style="76" customWidth="1"/>
    <col min="7431" max="7431" width="10.28515625" style="76" customWidth="1"/>
    <col min="7432" max="7432" width="12.5703125" style="76" customWidth="1"/>
    <col min="7433" max="7433" width="14.5703125" style="76" bestFit="1" customWidth="1"/>
    <col min="7434" max="7679" width="9.140625" style="76"/>
    <col min="7680" max="7680" width="39.28515625" style="76" customWidth="1"/>
    <col min="7681" max="7681" width="9.140625" style="76" customWidth="1"/>
    <col min="7682" max="7682" width="18.140625" style="76" bestFit="1" customWidth="1"/>
    <col min="7683" max="7683" width="16.7109375" style="76" customWidth="1"/>
    <col min="7684" max="7686" width="14" style="76" customWidth="1"/>
    <col min="7687" max="7687" width="10.28515625" style="76" customWidth="1"/>
    <col min="7688" max="7688" width="12.5703125" style="76" customWidth="1"/>
    <col min="7689" max="7689" width="14.5703125" style="76" bestFit="1" customWidth="1"/>
    <col min="7690" max="7935" width="9.140625" style="76"/>
    <col min="7936" max="7936" width="39.28515625" style="76" customWidth="1"/>
    <col min="7937" max="7937" width="9.140625" style="76" customWidth="1"/>
    <col min="7938" max="7938" width="18.140625" style="76" bestFit="1" customWidth="1"/>
    <col min="7939" max="7939" width="16.7109375" style="76" customWidth="1"/>
    <col min="7940" max="7942" width="14" style="76" customWidth="1"/>
    <col min="7943" max="7943" width="10.28515625" style="76" customWidth="1"/>
    <col min="7944" max="7944" width="12.5703125" style="76" customWidth="1"/>
    <col min="7945" max="7945" width="14.5703125" style="76" bestFit="1" customWidth="1"/>
    <col min="7946" max="8191" width="9.140625" style="76"/>
    <col min="8192" max="8192" width="39.28515625" style="76" customWidth="1"/>
    <col min="8193" max="8193" width="9.140625" style="76" customWidth="1"/>
    <col min="8194" max="8194" width="18.140625" style="76" bestFit="1" customWidth="1"/>
    <col min="8195" max="8195" width="16.7109375" style="76" customWidth="1"/>
    <col min="8196" max="8198" width="14" style="76" customWidth="1"/>
    <col min="8199" max="8199" width="10.28515625" style="76" customWidth="1"/>
    <col min="8200" max="8200" width="12.5703125" style="76" customWidth="1"/>
    <col min="8201" max="8201" width="14.5703125" style="76" bestFit="1" customWidth="1"/>
    <col min="8202" max="8447" width="9.140625" style="76"/>
    <col min="8448" max="8448" width="39.28515625" style="76" customWidth="1"/>
    <col min="8449" max="8449" width="9.140625" style="76" customWidth="1"/>
    <col min="8450" max="8450" width="18.140625" style="76" bestFit="1" customWidth="1"/>
    <col min="8451" max="8451" width="16.7109375" style="76" customWidth="1"/>
    <col min="8452" max="8454" width="14" style="76" customWidth="1"/>
    <col min="8455" max="8455" width="10.28515625" style="76" customWidth="1"/>
    <col min="8456" max="8456" width="12.5703125" style="76" customWidth="1"/>
    <col min="8457" max="8457" width="14.5703125" style="76" bestFit="1" customWidth="1"/>
    <col min="8458" max="8703" width="9.140625" style="76"/>
    <col min="8704" max="8704" width="39.28515625" style="76" customWidth="1"/>
    <col min="8705" max="8705" width="9.140625" style="76" customWidth="1"/>
    <col min="8706" max="8706" width="18.140625" style="76" bestFit="1" customWidth="1"/>
    <col min="8707" max="8707" width="16.7109375" style="76" customWidth="1"/>
    <col min="8708" max="8710" width="14" style="76" customWidth="1"/>
    <col min="8711" max="8711" width="10.28515625" style="76" customWidth="1"/>
    <col min="8712" max="8712" width="12.5703125" style="76" customWidth="1"/>
    <col min="8713" max="8713" width="14.5703125" style="76" bestFit="1" customWidth="1"/>
    <col min="8714" max="8959" width="9.140625" style="76"/>
    <col min="8960" max="8960" width="39.28515625" style="76" customWidth="1"/>
    <col min="8961" max="8961" width="9.140625" style="76" customWidth="1"/>
    <col min="8962" max="8962" width="18.140625" style="76" bestFit="1" customWidth="1"/>
    <col min="8963" max="8963" width="16.7109375" style="76" customWidth="1"/>
    <col min="8964" max="8966" width="14" style="76" customWidth="1"/>
    <col min="8967" max="8967" width="10.28515625" style="76" customWidth="1"/>
    <col min="8968" max="8968" width="12.5703125" style="76" customWidth="1"/>
    <col min="8969" max="8969" width="14.5703125" style="76" bestFit="1" customWidth="1"/>
    <col min="8970" max="9215" width="9.140625" style="76"/>
    <col min="9216" max="9216" width="39.28515625" style="76" customWidth="1"/>
    <col min="9217" max="9217" width="9.140625" style="76" customWidth="1"/>
    <col min="9218" max="9218" width="18.140625" style="76" bestFit="1" customWidth="1"/>
    <col min="9219" max="9219" width="16.7109375" style="76" customWidth="1"/>
    <col min="9220" max="9222" width="14" style="76" customWidth="1"/>
    <col min="9223" max="9223" width="10.28515625" style="76" customWidth="1"/>
    <col min="9224" max="9224" width="12.5703125" style="76" customWidth="1"/>
    <col min="9225" max="9225" width="14.5703125" style="76" bestFit="1" customWidth="1"/>
    <col min="9226" max="9471" width="9.140625" style="76"/>
    <col min="9472" max="9472" width="39.28515625" style="76" customWidth="1"/>
    <col min="9473" max="9473" width="9.140625" style="76" customWidth="1"/>
    <col min="9474" max="9474" width="18.140625" style="76" bestFit="1" customWidth="1"/>
    <col min="9475" max="9475" width="16.7109375" style="76" customWidth="1"/>
    <col min="9476" max="9478" width="14" style="76" customWidth="1"/>
    <col min="9479" max="9479" width="10.28515625" style="76" customWidth="1"/>
    <col min="9480" max="9480" width="12.5703125" style="76" customWidth="1"/>
    <col min="9481" max="9481" width="14.5703125" style="76" bestFit="1" customWidth="1"/>
    <col min="9482" max="9727" width="9.140625" style="76"/>
    <col min="9728" max="9728" width="39.28515625" style="76" customWidth="1"/>
    <col min="9729" max="9729" width="9.140625" style="76" customWidth="1"/>
    <col min="9730" max="9730" width="18.140625" style="76" bestFit="1" customWidth="1"/>
    <col min="9731" max="9731" width="16.7109375" style="76" customWidth="1"/>
    <col min="9732" max="9734" width="14" style="76" customWidth="1"/>
    <col min="9735" max="9735" width="10.28515625" style="76" customWidth="1"/>
    <col min="9736" max="9736" width="12.5703125" style="76" customWidth="1"/>
    <col min="9737" max="9737" width="14.5703125" style="76" bestFit="1" customWidth="1"/>
    <col min="9738" max="9983" width="9.140625" style="76"/>
    <col min="9984" max="9984" width="39.28515625" style="76" customWidth="1"/>
    <col min="9985" max="9985" width="9.140625" style="76" customWidth="1"/>
    <col min="9986" max="9986" width="18.140625" style="76" bestFit="1" customWidth="1"/>
    <col min="9987" max="9987" width="16.7109375" style="76" customWidth="1"/>
    <col min="9988" max="9990" width="14" style="76" customWidth="1"/>
    <col min="9991" max="9991" width="10.28515625" style="76" customWidth="1"/>
    <col min="9992" max="9992" width="12.5703125" style="76" customWidth="1"/>
    <col min="9993" max="9993" width="14.5703125" style="76" bestFit="1" customWidth="1"/>
    <col min="9994" max="10239" width="9.140625" style="76"/>
    <col min="10240" max="10240" width="39.28515625" style="76" customWidth="1"/>
    <col min="10241" max="10241" width="9.140625" style="76" customWidth="1"/>
    <col min="10242" max="10242" width="18.140625" style="76" bestFit="1" customWidth="1"/>
    <col min="10243" max="10243" width="16.7109375" style="76" customWidth="1"/>
    <col min="10244" max="10246" width="14" style="76" customWidth="1"/>
    <col min="10247" max="10247" width="10.28515625" style="76" customWidth="1"/>
    <col min="10248" max="10248" width="12.5703125" style="76" customWidth="1"/>
    <col min="10249" max="10249" width="14.5703125" style="76" bestFit="1" customWidth="1"/>
    <col min="10250" max="10495" width="9.140625" style="76"/>
    <col min="10496" max="10496" width="39.28515625" style="76" customWidth="1"/>
    <col min="10497" max="10497" width="9.140625" style="76" customWidth="1"/>
    <col min="10498" max="10498" width="18.140625" style="76" bestFit="1" customWidth="1"/>
    <col min="10499" max="10499" width="16.7109375" style="76" customWidth="1"/>
    <col min="10500" max="10502" width="14" style="76" customWidth="1"/>
    <col min="10503" max="10503" width="10.28515625" style="76" customWidth="1"/>
    <col min="10504" max="10504" width="12.5703125" style="76" customWidth="1"/>
    <col min="10505" max="10505" width="14.5703125" style="76" bestFit="1" customWidth="1"/>
    <col min="10506" max="10751" width="9.140625" style="76"/>
    <col min="10752" max="10752" width="39.28515625" style="76" customWidth="1"/>
    <col min="10753" max="10753" width="9.140625" style="76" customWidth="1"/>
    <col min="10754" max="10754" width="18.140625" style="76" bestFit="1" customWidth="1"/>
    <col min="10755" max="10755" width="16.7109375" style="76" customWidth="1"/>
    <col min="10756" max="10758" width="14" style="76" customWidth="1"/>
    <col min="10759" max="10759" width="10.28515625" style="76" customWidth="1"/>
    <col min="10760" max="10760" width="12.5703125" style="76" customWidth="1"/>
    <col min="10761" max="10761" width="14.5703125" style="76" bestFit="1" customWidth="1"/>
    <col min="10762" max="11007" width="9.140625" style="76"/>
    <col min="11008" max="11008" width="39.28515625" style="76" customWidth="1"/>
    <col min="11009" max="11009" width="9.140625" style="76" customWidth="1"/>
    <col min="11010" max="11010" width="18.140625" style="76" bestFit="1" customWidth="1"/>
    <col min="11011" max="11011" width="16.7109375" style="76" customWidth="1"/>
    <col min="11012" max="11014" width="14" style="76" customWidth="1"/>
    <col min="11015" max="11015" width="10.28515625" style="76" customWidth="1"/>
    <col min="11016" max="11016" width="12.5703125" style="76" customWidth="1"/>
    <col min="11017" max="11017" width="14.5703125" style="76" bestFit="1" customWidth="1"/>
    <col min="11018" max="11263" width="9.140625" style="76"/>
    <col min="11264" max="11264" width="39.28515625" style="76" customWidth="1"/>
    <col min="11265" max="11265" width="9.140625" style="76" customWidth="1"/>
    <col min="11266" max="11266" width="18.140625" style="76" bestFit="1" customWidth="1"/>
    <col min="11267" max="11267" width="16.7109375" style="76" customWidth="1"/>
    <col min="11268" max="11270" width="14" style="76" customWidth="1"/>
    <col min="11271" max="11271" width="10.28515625" style="76" customWidth="1"/>
    <col min="11272" max="11272" width="12.5703125" style="76" customWidth="1"/>
    <col min="11273" max="11273" width="14.5703125" style="76" bestFit="1" customWidth="1"/>
    <col min="11274" max="11519" width="9.140625" style="76"/>
    <col min="11520" max="11520" width="39.28515625" style="76" customWidth="1"/>
    <col min="11521" max="11521" width="9.140625" style="76" customWidth="1"/>
    <col min="11522" max="11522" width="18.140625" style="76" bestFit="1" customWidth="1"/>
    <col min="11523" max="11523" width="16.7109375" style="76" customWidth="1"/>
    <col min="11524" max="11526" width="14" style="76" customWidth="1"/>
    <col min="11527" max="11527" width="10.28515625" style="76" customWidth="1"/>
    <col min="11528" max="11528" width="12.5703125" style="76" customWidth="1"/>
    <col min="11529" max="11529" width="14.5703125" style="76" bestFit="1" customWidth="1"/>
    <col min="11530" max="11775" width="9.140625" style="76"/>
    <col min="11776" max="11776" width="39.28515625" style="76" customWidth="1"/>
    <col min="11777" max="11777" width="9.140625" style="76" customWidth="1"/>
    <col min="11778" max="11778" width="18.140625" style="76" bestFit="1" customWidth="1"/>
    <col min="11779" max="11779" width="16.7109375" style="76" customWidth="1"/>
    <col min="11780" max="11782" width="14" style="76" customWidth="1"/>
    <col min="11783" max="11783" width="10.28515625" style="76" customWidth="1"/>
    <col min="11784" max="11784" width="12.5703125" style="76" customWidth="1"/>
    <col min="11785" max="11785" width="14.5703125" style="76" bestFit="1" customWidth="1"/>
    <col min="11786" max="12031" width="9.140625" style="76"/>
    <col min="12032" max="12032" width="39.28515625" style="76" customWidth="1"/>
    <col min="12033" max="12033" width="9.140625" style="76" customWidth="1"/>
    <col min="12034" max="12034" width="18.140625" style="76" bestFit="1" customWidth="1"/>
    <col min="12035" max="12035" width="16.7109375" style="76" customWidth="1"/>
    <col min="12036" max="12038" width="14" style="76" customWidth="1"/>
    <col min="12039" max="12039" width="10.28515625" style="76" customWidth="1"/>
    <col min="12040" max="12040" width="12.5703125" style="76" customWidth="1"/>
    <col min="12041" max="12041" width="14.5703125" style="76" bestFit="1" customWidth="1"/>
    <col min="12042" max="12287" width="9.140625" style="76"/>
    <col min="12288" max="12288" width="39.28515625" style="76" customWidth="1"/>
    <col min="12289" max="12289" width="9.140625" style="76" customWidth="1"/>
    <col min="12290" max="12290" width="18.140625" style="76" bestFit="1" customWidth="1"/>
    <col min="12291" max="12291" width="16.7109375" style="76" customWidth="1"/>
    <col min="12292" max="12294" width="14" style="76" customWidth="1"/>
    <col min="12295" max="12295" width="10.28515625" style="76" customWidth="1"/>
    <col min="12296" max="12296" width="12.5703125" style="76" customWidth="1"/>
    <col min="12297" max="12297" width="14.5703125" style="76" bestFit="1" customWidth="1"/>
    <col min="12298" max="12543" width="9.140625" style="76"/>
    <col min="12544" max="12544" width="39.28515625" style="76" customWidth="1"/>
    <col min="12545" max="12545" width="9.140625" style="76" customWidth="1"/>
    <col min="12546" max="12546" width="18.140625" style="76" bestFit="1" customWidth="1"/>
    <col min="12547" max="12547" width="16.7109375" style="76" customWidth="1"/>
    <col min="12548" max="12550" width="14" style="76" customWidth="1"/>
    <col min="12551" max="12551" width="10.28515625" style="76" customWidth="1"/>
    <col min="12552" max="12552" width="12.5703125" style="76" customWidth="1"/>
    <col min="12553" max="12553" width="14.5703125" style="76" bestFit="1" customWidth="1"/>
    <col min="12554" max="12799" width="9.140625" style="76"/>
    <col min="12800" max="12800" width="39.28515625" style="76" customWidth="1"/>
    <col min="12801" max="12801" width="9.140625" style="76" customWidth="1"/>
    <col min="12802" max="12802" width="18.140625" style="76" bestFit="1" customWidth="1"/>
    <col min="12803" max="12803" width="16.7109375" style="76" customWidth="1"/>
    <col min="12804" max="12806" width="14" style="76" customWidth="1"/>
    <col min="12807" max="12807" width="10.28515625" style="76" customWidth="1"/>
    <col min="12808" max="12808" width="12.5703125" style="76" customWidth="1"/>
    <col min="12809" max="12809" width="14.5703125" style="76" bestFit="1" customWidth="1"/>
    <col min="12810" max="13055" width="9.140625" style="76"/>
    <col min="13056" max="13056" width="39.28515625" style="76" customWidth="1"/>
    <col min="13057" max="13057" width="9.140625" style="76" customWidth="1"/>
    <col min="13058" max="13058" width="18.140625" style="76" bestFit="1" customWidth="1"/>
    <col min="13059" max="13059" width="16.7109375" style="76" customWidth="1"/>
    <col min="13060" max="13062" width="14" style="76" customWidth="1"/>
    <col min="13063" max="13063" width="10.28515625" style="76" customWidth="1"/>
    <col min="13064" max="13064" width="12.5703125" style="76" customWidth="1"/>
    <col min="13065" max="13065" width="14.5703125" style="76" bestFit="1" customWidth="1"/>
    <col min="13066" max="13311" width="9.140625" style="76"/>
    <col min="13312" max="13312" width="39.28515625" style="76" customWidth="1"/>
    <col min="13313" max="13313" width="9.140625" style="76" customWidth="1"/>
    <col min="13314" max="13314" width="18.140625" style="76" bestFit="1" customWidth="1"/>
    <col min="13315" max="13315" width="16.7109375" style="76" customWidth="1"/>
    <col min="13316" max="13318" width="14" style="76" customWidth="1"/>
    <col min="13319" max="13319" width="10.28515625" style="76" customWidth="1"/>
    <col min="13320" max="13320" width="12.5703125" style="76" customWidth="1"/>
    <col min="13321" max="13321" width="14.5703125" style="76" bestFit="1" customWidth="1"/>
    <col min="13322" max="13567" width="9.140625" style="76"/>
    <col min="13568" max="13568" width="39.28515625" style="76" customWidth="1"/>
    <col min="13569" max="13569" width="9.140625" style="76" customWidth="1"/>
    <col min="13570" max="13570" width="18.140625" style="76" bestFit="1" customWidth="1"/>
    <col min="13571" max="13571" width="16.7109375" style="76" customWidth="1"/>
    <col min="13572" max="13574" width="14" style="76" customWidth="1"/>
    <col min="13575" max="13575" width="10.28515625" style="76" customWidth="1"/>
    <col min="13576" max="13576" width="12.5703125" style="76" customWidth="1"/>
    <col min="13577" max="13577" width="14.5703125" style="76" bestFit="1" customWidth="1"/>
    <col min="13578" max="13823" width="9.140625" style="76"/>
    <col min="13824" max="13824" width="39.28515625" style="76" customWidth="1"/>
    <col min="13825" max="13825" width="9.140625" style="76" customWidth="1"/>
    <col min="13826" max="13826" width="18.140625" style="76" bestFit="1" customWidth="1"/>
    <col min="13827" max="13827" width="16.7109375" style="76" customWidth="1"/>
    <col min="13828" max="13830" width="14" style="76" customWidth="1"/>
    <col min="13831" max="13831" width="10.28515625" style="76" customWidth="1"/>
    <col min="13832" max="13832" width="12.5703125" style="76" customWidth="1"/>
    <col min="13833" max="13833" width="14.5703125" style="76" bestFit="1" customWidth="1"/>
    <col min="13834" max="14079" width="9.140625" style="76"/>
    <col min="14080" max="14080" width="39.28515625" style="76" customWidth="1"/>
    <col min="14081" max="14081" width="9.140625" style="76" customWidth="1"/>
    <col min="14082" max="14082" width="18.140625" style="76" bestFit="1" customWidth="1"/>
    <col min="14083" max="14083" width="16.7109375" style="76" customWidth="1"/>
    <col min="14084" max="14086" width="14" style="76" customWidth="1"/>
    <col min="14087" max="14087" width="10.28515625" style="76" customWidth="1"/>
    <col min="14088" max="14088" width="12.5703125" style="76" customWidth="1"/>
    <col min="14089" max="14089" width="14.5703125" style="76" bestFit="1" customWidth="1"/>
    <col min="14090" max="14335" width="9.140625" style="76"/>
    <col min="14336" max="14336" width="39.28515625" style="76" customWidth="1"/>
    <col min="14337" max="14337" width="9.140625" style="76" customWidth="1"/>
    <col min="14338" max="14338" width="18.140625" style="76" bestFit="1" customWidth="1"/>
    <col min="14339" max="14339" width="16.7109375" style="76" customWidth="1"/>
    <col min="14340" max="14342" width="14" style="76" customWidth="1"/>
    <col min="14343" max="14343" width="10.28515625" style="76" customWidth="1"/>
    <col min="14344" max="14344" width="12.5703125" style="76" customWidth="1"/>
    <col min="14345" max="14345" width="14.5703125" style="76" bestFit="1" customWidth="1"/>
    <col min="14346" max="14591" width="9.140625" style="76"/>
    <col min="14592" max="14592" width="39.28515625" style="76" customWidth="1"/>
    <col min="14593" max="14593" width="9.140625" style="76" customWidth="1"/>
    <col min="14594" max="14594" width="18.140625" style="76" bestFit="1" customWidth="1"/>
    <col min="14595" max="14595" width="16.7109375" style="76" customWidth="1"/>
    <col min="14596" max="14598" width="14" style="76" customWidth="1"/>
    <col min="14599" max="14599" width="10.28515625" style="76" customWidth="1"/>
    <col min="14600" max="14600" width="12.5703125" style="76" customWidth="1"/>
    <col min="14601" max="14601" width="14.5703125" style="76" bestFit="1" customWidth="1"/>
    <col min="14602" max="14847" width="9.140625" style="76"/>
    <col min="14848" max="14848" width="39.28515625" style="76" customWidth="1"/>
    <col min="14849" max="14849" width="9.140625" style="76" customWidth="1"/>
    <col min="14850" max="14850" width="18.140625" style="76" bestFit="1" customWidth="1"/>
    <col min="14851" max="14851" width="16.7109375" style="76" customWidth="1"/>
    <col min="14852" max="14854" width="14" style="76" customWidth="1"/>
    <col min="14855" max="14855" width="10.28515625" style="76" customWidth="1"/>
    <col min="14856" max="14856" width="12.5703125" style="76" customWidth="1"/>
    <col min="14857" max="14857" width="14.5703125" style="76" bestFit="1" customWidth="1"/>
    <col min="14858" max="15103" width="9.140625" style="76"/>
    <col min="15104" max="15104" width="39.28515625" style="76" customWidth="1"/>
    <col min="15105" max="15105" width="9.140625" style="76" customWidth="1"/>
    <col min="15106" max="15106" width="18.140625" style="76" bestFit="1" customWidth="1"/>
    <col min="15107" max="15107" width="16.7109375" style="76" customWidth="1"/>
    <col min="15108" max="15110" width="14" style="76" customWidth="1"/>
    <col min="15111" max="15111" width="10.28515625" style="76" customWidth="1"/>
    <col min="15112" max="15112" width="12.5703125" style="76" customWidth="1"/>
    <col min="15113" max="15113" width="14.5703125" style="76" bestFit="1" customWidth="1"/>
    <col min="15114" max="15359" width="9.140625" style="76"/>
    <col min="15360" max="15360" width="39.28515625" style="76" customWidth="1"/>
    <col min="15361" max="15361" width="9.140625" style="76" customWidth="1"/>
    <col min="15362" max="15362" width="18.140625" style="76" bestFit="1" customWidth="1"/>
    <col min="15363" max="15363" width="16.7109375" style="76" customWidth="1"/>
    <col min="15364" max="15366" width="14" style="76" customWidth="1"/>
    <col min="15367" max="15367" width="10.28515625" style="76" customWidth="1"/>
    <col min="15368" max="15368" width="12.5703125" style="76" customWidth="1"/>
    <col min="15369" max="15369" width="14.5703125" style="76" bestFit="1" customWidth="1"/>
    <col min="15370" max="15615" width="9.140625" style="76"/>
    <col min="15616" max="15616" width="39.28515625" style="76" customWidth="1"/>
    <col min="15617" max="15617" width="9.140625" style="76" customWidth="1"/>
    <col min="15618" max="15618" width="18.140625" style="76" bestFit="1" customWidth="1"/>
    <col min="15619" max="15619" width="16.7109375" style="76" customWidth="1"/>
    <col min="15620" max="15622" width="14" style="76" customWidth="1"/>
    <col min="15623" max="15623" width="10.28515625" style="76" customWidth="1"/>
    <col min="15624" max="15624" width="12.5703125" style="76" customWidth="1"/>
    <col min="15625" max="15625" width="14.5703125" style="76" bestFit="1" customWidth="1"/>
    <col min="15626" max="15871" width="9.140625" style="76"/>
    <col min="15872" max="15872" width="39.28515625" style="76" customWidth="1"/>
    <col min="15873" max="15873" width="9.140625" style="76" customWidth="1"/>
    <col min="15874" max="15874" width="18.140625" style="76" bestFit="1" customWidth="1"/>
    <col min="15875" max="15875" width="16.7109375" style="76" customWidth="1"/>
    <col min="15876" max="15878" width="14" style="76" customWidth="1"/>
    <col min="15879" max="15879" width="10.28515625" style="76" customWidth="1"/>
    <col min="15880" max="15880" width="12.5703125" style="76" customWidth="1"/>
    <col min="15881" max="15881" width="14.5703125" style="76" bestFit="1" customWidth="1"/>
    <col min="15882" max="16127" width="9.140625" style="76"/>
    <col min="16128" max="16128" width="39.28515625" style="76" customWidth="1"/>
    <col min="16129" max="16129" width="9.140625" style="76" customWidth="1"/>
    <col min="16130" max="16130" width="18.140625" style="76" bestFit="1" customWidth="1"/>
    <col min="16131" max="16131" width="16.7109375" style="76" customWidth="1"/>
    <col min="16132" max="16134" width="14" style="76" customWidth="1"/>
    <col min="16135" max="16135" width="10.28515625" style="76" customWidth="1"/>
    <col min="16136" max="16136" width="12.5703125" style="76" customWidth="1"/>
    <col min="16137" max="16137" width="14.5703125" style="76" bestFit="1" customWidth="1"/>
    <col min="16138" max="16384" width="9.140625" style="76"/>
  </cols>
  <sheetData>
    <row r="1" spans="1:9" ht="21" x14ac:dyDescent="0.35">
      <c r="A1" s="488" t="s">
        <v>675</v>
      </c>
    </row>
    <row r="2" spans="1:9" x14ac:dyDescent="0.3">
      <c r="I2" s="77" t="s">
        <v>240</v>
      </c>
    </row>
    <row r="3" spans="1:9" s="78" customFormat="1" x14ac:dyDescent="0.3">
      <c r="A3" s="489" t="s">
        <v>245</v>
      </c>
      <c r="B3" s="490" t="s">
        <v>175</v>
      </c>
      <c r="C3" s="490" t="s">
        <v>176</v>
      </c>
      <c r="D3" s="490" t="s">
        <v>0</v>
      </c>
      <c r="E3" s="490" t="s">
        <v>177</v>
      </c>
      <c r="F3" s="490" t="s">
        <v>178</v>
      </c>
      <c r="G3" s="491" t="s">
        <v>246</v>
      </c>
      <c r="H3" s="489" t="s">
        <v>182</v>
      </c>
      <c r="I3" s="489" t="s">
        <v>183</v>
      </c>
    </row>
    <row r="4" spans="1:9" x14ac:dyDescent="0.3">
      <c r="A4" s="492" t="s">
        <v>248</v>
      </c>
      <c r="B4" s="493">
        <v>96377378.79118596</v>
      </c>
      <c r="C4" s="494">
        <v>118297402.9206647</v>
      </c>
      <c r="D4" s="493">
        <v>50644486.343416616</v>
      </c>
      <c r="E4" s="493">
        <v>36910744.844759226</v>
      </c>
      <c r="F4" s="495">
        <v>302230012.9000265</v>
      </c>
      <c r="G4" s="496">
        <v>9625379</v>
      </c>
      <c r="H4" s="497" t="s">
        <v>224</v>
      </c>
      <c r="I4" s="498">
        <f t="shared" ref="I4:I11" si="0">SUM(F4/G4)</f>
        <v>31.399284422984955</v>
      </c>
    </row>
    <row r="5" spans="1:9" ht="37.5" x14ac:dyDescent="0.3">
      <c r="A5" s="492" t="s">
        <v>249</v>
      </c>
      <c r="B5" s="493">
        <v>15700138.110206138</v>
      </c>
      <c r="C5" s="494">
        <v>4272266.91938088</v>
      </c>
      <c r="D5" s="493">
        <v>4953678.3339554928</v>
      </c>
      <c r="E5" s="493">
        <v>1642800.0353159567</v>
      </c>
      <c r="F5" s="495">
        <v>26568883.398858469</v>
      </c>
      <c r="G5" s="496">
        <v>928</v>
      </c>
      <c r="H5" s="499" t="s">
        <v>270</v>
      </c>
      <c r="I5" s="498">
        <f t="shared" si="0"/>
        <v>28630.262283252661</v>
      </c>
    </row>
    <row r="6" spans="1:9" x14ac:dyDescent="0.3">
      <c r="A6" s="492" t="s">
        <v>250</v>
      </c>
      <c r="B6" s="493">
        <v>142574281.21277112</v>
      </c>
      <c r="C6" s="494">
        <v>5585730.4590612147</v>
      </c>
      <c r="D6" s="493">
        <v>40025123.377209917</v>
      </c>
      <c r="E6" s="493">
        <v>7149706.9768945724</v>
      </c>
      <c r="F6" s="495">
        <v>195334842.02593684</v>
      </c>
      <c r="G6" s="496">
        <v>28</v>
      </c>
      <c r="H6" s="497" t="s">
        <v>222</v>
      </c>
      <c r="I6" s="498">
        <f t="shared" si="0"/>
        <v>6976244.3580691731</v>
      </c>
    </row>
    <row r="7" spans="1:9" x14ac:dyDescent="0.3">
      <c r="A7" s="500" t="s">
        <v>247</v>
      </c>
      <c r="B7" s="493">
        <v>501288054.03084874</v>
      </c>
      <c r="C7" s="493">
        <v>50108382.37246073</v>
      </c>
      <c r="D7" s="493">
        <v>179488163.01412272</v>
      </c>
      <c r="E7" s="493">
        <v>24158758.775633987</v>
      </c>
      <c r="F7" s="495">
        <v>755043358.193066</v>
      </c>
      <c r="G7" s="496">
        <v>331941</v>
      </c>
      <c r="H7" s="497" t="s">
        <v>500</v>
      </c>
      <c r="I7" s="498">
        <f t="shared" si="0"/>
        <v>2274.6312091397749</v>
      </c>
    </row>
    <row r="8" spans="1:9" x14ac:dyDescent="0.3">
      <c r="A8" s="500" t="s">
        <v>251</v>
      </c>
      <c r="B8" s="493">
        <v>344439538.07367605</v>
      </c>
      <c r="C8" s="494">
        <v>8647701.539509112</v>
      </c>
      <c r="D8" s="493">
        <v>1567923.8122744013</v>
      </c>
      <c r="E8" s="493">
        <v>2561397.009383196</v>
      </c>
      <c r="F8" s="495">
        <v>357216560.43484282</v>
      </c>
      <c r="G8" s="496">
        <v>208050</v>
      </c>
      <c r="H8" s="497" t="s">
        <v>327</v>
      </c>
      <c r="I8" s="498">
        <f t="shared" si="0"/>
        <v>1716.9745755099391</v>
      </c>
    </row>
    <row r="9" spans="1:9" ht="37.5" x14ac:dyDescent="0.3">
      <c r="A9" s="500" t="s">
        <v>252</v>
      </c>
      <c r="B9" s="493">
        <v>2575760.7237989698</v>
      </c>
      <c r="C9" s="494">
        <v>839293.6710845154</v>
      </c>
      <c r="D9" s="493">
        <v>647831.90330799564</v>
      </c>
      <c r="E9" s="493">
        <v>368534.29464938422</v>
      </c>
      <c r="F9" s="495">
        <v>4431420.5928408653</v>
      </c>
      <c r="G9" s="496">
        <v>1864</v>
      </c>
      <c r="H9" s="497" t="s">
        <v>224</v>
      </c>
      <c r="I9" s="498">
        <f t="shared" si="0"/>
        <v>2377.3715626828675</v>
      </c>
    </row>
    <row r="10" spans="1:9" ht="37.5" x14ac:dyDescent="0.3">
      <c r="A10" s="500" t="s">
        <v>253</v>
      </c>
      <c r="B10" s="493">
        <v>514556898.34714127</v>
      </c>
      <c r="C10" s="494">
        <v>11115173.029789535</v>
      </c>
      <c r="D10" s="493">
        <v>4123805.4050518931</v>
      </c>
      <c r="E10" s="493">
        <v>26126595.058856316</v>
      </c>
      <c r="F10" s="495">
        <v>555922471.84083915</v>
      </c>
      <c r="G10" s="496">
        <v>1309</v>
      </c>
      <c r="H10" s="497" t="s">
        <v>224</v>
      </c>
      <c r="I10" s="498">
        <f t="shared" si="0"/>
        <v>424692.49185701995</v>
      </c>
    </row>
    <row r="11" spans="1:9" x14ac:dyDescent="0.3">
      <c r="A11" s="501" t="s">
        <v>254</v>
      </c>
      <c r="B11" s="502">
        <v>605567938.53037071</v>
      </c>
      <c r="C11" s="503">
        <v>122542441.51804931</v>
      </c>
      <c r="D11" s="502">
        <v>29445057.510660887</v>
      </c>
      <c r="E11" s="502">
        <v>85922134.844507068</v>
      </c>
      <c r="F11" s="504">
        <v>843477572.40358806</v>
      </c>
      <c r="G11" s="505">
        <v>12</v>
      </c>
      <c r="H11" s="506" t="s">
        <v>331</v>
      </c>
      <c r="I11" s="498">
        <f t="shared" si="0"/>
        <v>70289797.70029901</v>
      </c>
    </row>
    <row r="12" spans="1:9" s="78" customFormat="1" ht="20.25" thickBot="1" x14ac:dyDescent="0.35">
      <c r="A12" s="507" t="s">
        <v>178</v>
      </c>
      <c r="B12" s="508">
        <f>SUM(B4:B11)</f>
        <v>2223079987.8199987</v>
      </c>
      <c r="C12" s="508">
        <f t="shared" ref="C12:F12" si="1">SUM(C4:C11)</f>
        <v>321408392.43000001</v>
      </c>
      <c r="D12" s="508">
        <f t="shared" si="1"/>
        <v>310896069.69999987</v>
      </c>
      <c r="E12" s="508">
        <f t="shared" si="1"/>
        <v>184840671.83999971</v>
      </c>
      <c r="F12" s="508">
        <f t="shared" si="1"/>
        <v>3040225121.789999</v>
      </c>
      <c r="G12" s="509"/>
      <c r="H12" s="510"/>
      <c r="I12" s="511"/>
    </row>
    <row r="13" spans="1:9" ht="20.25" thickTop="1" x14ac:dyDescent="0.3"/>
    <row r="14" spans="1:9" ht="21" hidden="1" x14ac:dyDescent="0.35">
      <c r="A14" s="81"/>
      <c r="B14" s="72">
        <f>SUM(B4+B5)</f>
        <v>112077516.9013921</v>
      </c>
      <c r="C14" s="72">
        <f>SUM(C4+C5)</f>
        <v>122569669.84004557</v>
      </c>
      <c r="D14" s="72">
        <f t="shared" ref="D14:E14" si="2">SUM(D4+D5)</f>
        <v>55598164.677372113</v>
      </c>
      <c r="E14" s="72">
        <f t="shared" si="2"/>
        <v>38553544.880075179</v>
      </c>
      <c r="F14" s="73">
        <f>SUM(B14:E14)</f>
        <v>328798896.29888493</v>
      </c>
    </row>
    <row r="15" spans="1:9" hidden="1" x14ac:dyDescent="0.3">
      <c r="B15" s="72">
        <f>SUM(B6:B7)</f>
        <v>643862335.24361992</v>
      </c>
      <c r="C15" s="72">
        <f t="shared" ref="C15:E15" si="3">SUM(C6:C7)</f>
        <v>55694112.831521943</v>
      </c>
      <c r="D15" s="72">
        <f t="shared" si="3"/>
        <v>219513286.39133263</v>
      </c>
      <c r="E15" s="72">
        <f t="shared" si="3"/>
        <v>31308465.752528559</v>
      </c>
      <c r="F15" s="73">
        <f>SUM(B15:E15)</f>
        <v>950378200.21900308</v>
      </c>
      <c r="H15" s="100"/>
    </row>
    <row r="16" spans="1:9" hidden="1" x14ac:dyDescent="0.3">
      <c r="B16" s="72">
        <f>SUM(B8:B9)</f>
        <v>347015298.79747504</v>
      </c>
      <c r="C16" s="72">
        <f t="shared" ref="C16:E16" si="4">SUM(C8:C9)</f>
        <v>9486995.2105936278</v>
      </c>
      <c r="D16" s="72">
        <f t="shared" si="4"/>
        <v>2215755.7155823968</v>
      </c>
      <c r="E16" s="72">
        <f t="shared" si="4"/>
        <v>2929931.30403258</v>
      </c>
      <c r="F16" s="73">
        <f>SUM(B16:E16)</f>
        <v>361647981.02768362</v>
      </c>
    </row>
    <row r="17" spans="2:6" hidden="1" x14ac:dyDescent="0.3">
      <c r="B17" s="72">
        <f>SUM(B10:B11)</f>
        <v>1120124836.877512</v>
      </c>
      <c r="C17" s="72">
        <f t="shared" ref="C17:E17" si="5">SUM(C10:C11)</f>
        <v>133657614.54783885</v>
      </c>
      <c r="D17" s="72">
        <f t="shared" si="5"/>
        <v>33568862.915712781</v>
      </c>
      <c r="E17" s="72">
        <f t="shared" si="5"/>
        <v>112048729.90336338</v>
      </c>
      <c r="F17" s="73">
        <f>SUM(B17:E17)</f>
        <v>1399400044.2444272</v>
      </c>
    </row>
    <row r="18" spans="2:6" hidden="1" x14ac:dyDescent="0.3">
      <c r="F18" s="73">
        <f>SUM(F14:F17)</f>
        <v>3040225121.789999</v>
      </c>
    </row>
    <row r="19" spans="2: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</sheetData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8"/>
  <sheetViews>
    <sheetView workbookViewId="0">
      <selection activeCell="D25" sqref="D25"/>
    </sheetView>
  </sheetViews>
  <sheetFormatPr defaultColWidth="9" defaultRowHeight="21" x14ac:dyDescent="0.35"/>
  <cols>
    <col min="1" max="1" width="30.85546875" style="84" customWidth="1"/>
    <col min="2" max="3" width="18.7109375" style="83" bestFit="1" customWidth="1"/>
    <col min="4" max="5" width="16.85546875" style="83" bestFit="1" customWidth="1"/>
    <col min="6" max="6" width="18.7109375" style="83" bestFit="1" customWidth="1"/>
    <col min="7" max="7" width="9.85546875" style="84" bestFit="1" customWidth="1"/>
    <col min="8" max="8" width="8.42578125" style="84" bestFit="1" customWidth="1"/>
    <col min="9" max="9" width="16.42578125" style="84" bestFit="1" customWidth="1"/>
    <col min="10" max="255" width="9" style="84"/>
    <col min="256" max="256" width="27.140625" style="84" customWidth="1"/>
    <col min="257" max="257" width="9" style="84" customWidth="1"/>
    <col min="258" max="259" width="18.7109375" style="84" bestFit="1" customWidth="1"/>
    <col min="260" max="261" width="16.85546875" style="84" bestFit="1" customWidth="1"/>
    <col min="262" max="262" width="18.7109375" style="84" bestFit="1" customWidth="1"/>
    <col min="263" max="263" width="13.28515625" style="84" customWidth="1"/>
    <col min="264" max="264" width="12.5703125" style="84" customWidth="1"/>
    <col min="265" max="265" width="14.42578125" style="84" bestFit="1" customWidth="1"/>
    <col min="266" max="511" width="9" style="84"/>
    <col min="512" max="512" width="27.140625" style="84" customWidth="1"/>
    <col min="513" max="513" width="9" style="84" customWidth="1"/>
    <col min="514" max="515" width="18.7109375" style="84" bestFit="1" customWidth="1"/>
    <col min="516" max="517" width="16.85546875" style="84" bestFit="1" customWidth="1"/>
    <col min="518" max="518" width="18.7109375" style="84" bestFit="1" customWidth="1"/>
    <col min="519" max="519" width="13.28515625" style="84" customWidth="1"/>
    <col min="520" max="520" width="12.5703125" style="84" customWidth="1"/>
    <col min="521" max="521" width="14.42578125" style="84" bestFit="1" customWidth="1"/>
    <col min="522" max="767" width="9" style="84"/>
    <col min="768" max="768" width="27.140625" style="84" customWidth="1"/>
    <col min="769" max="769" width="9" style="84" customWidth="1"/>
    <col min="770" max="771" width="18.7109375" style="84" bestFit="1" customWidth="1"/>
    <col min="772" max="773" width="16.85546875" style="84" bestFit="1" customWidth="1"/>
    <col min="774" max="774" width="18.7109375" style="84" bestFit="1" customWidth="1"/>
    <col min="775" max="775" width="13.28515625" style="84" customWidth="1"/>
    <col min="776" max="776" width="12.5703125" style="84" customWidth="1"/>
    <col min="777" max="777" width="14.42578125" style="84" bestFit="1" customWidth="1"/>
    <col min="778" max="1023" width="9" style="84"/>
    <col min="1024" max="1024" width="27.140625" style="84" customWidth="1"/>
    <col min="1025" max="1025" width="9" style="84" customWidth="1"/>
    <col min="1026" max="1027" width="18.7109375" style="84" bestFit="1" customWidth="1"/>
    <col min="1028" max="1029" width="16.85546875" style="84" bestFit="1" customWidth="1"/>
    <col min="1030" max="1030" width="18.7109375" style="84" bestFit="1" customWidth="1"/>
    <col min="1031" max="1031" width="13.28515625" style="84" customWidth="1"/>
    <col min="1032" max="1032" width="12.5703125" style="84" customWidth="1"/>
    <col min="1033" max="1033" width="14.42578125" style="84" bestFit="1" customWidth="1"/>
    <col min="1034" max="1279" width="9" style="84"/>
    <col min="1280" max="1280" width="27.140625" style="84" customWidth="1"/>
    <col min="1281" max="1281" width="9" style="84" customWidth="1"/>
    <col min="1282" max="1283" width="18.7109375" style="84" bestFit="1" customWidth="1"/>
    <col min="1284" max="1285" width="16.85546875" style="84" bestFit="1" customWidth="1"/>
    <col min="1286" max="1286" width="18.7109375" style="84" bestFit="1" customWidth="1"/>
    <col min="1287" max="1287" width="13.28515625" style="84" customWidth="1"/>
    <col min="1288" max="1288" width="12.5703125" style="84" customWidth="1"/>
    <col min="1289" max="1289" width="14.42578125" style="84" bestFit="1" customWidth="1"/>
    <col min="1290" max="1535" width="9" style="84"/>
    <col min="1536" max="1536" width="27.140625" style="84" customWidth="1"/>
    <col min="1537" max="1537" width="9" style="84" customWidth="1"/>
    <col min="1538" max="1539" width="18.7109375" style="84" bestFit="1" customWidth="1"/>
    <col min="1540" max="1541" width="16.85546875" style="84" bestFit="1" customWidth="1"/>
    <col min="1542" max="1542" width="18.7109375" style="84" bestFit="1" customWidth="1"/>
    <col min="1543" max="1543" width="13.28515625" style="84" customWidth="1"/>
    <col min="1544" max="1544" width="12.5703125" style="84" customWidth="1"/>
    <col min="1545" max="1545" width="14.42578125" style="84" bestFit="1" customWidth="1"/>
    <col min="1546" max="1791" width="9" style="84"/>
    <col min="1792" max="1792" width="27.140625" style="84" customWidth="1"/>
    <col min="1793" max="1793" width="9" style="84" customWidth="1"/>
    <col min="1794" max="1795" width="18.7109375" style="84" bestFit="1" customWidth="1"/>
    <col min="1796" max="1797" width="16.85546875" style="84" bestFit="1" customWidth="1"/>
    <col min="1798" max="1798" width="18.7109375" style="84" bestFit="1" customWidth="1"/>
    <col min="1799" max="1799" width="13.28515625" style="84" customWidth="1"/>
    <col min="1800" max="1800" width="12.5703125" style="84" customWidth="1"/>
    <col min="1801" max="1801" width="14.42578125" style="84" bestFit="1" customWidth="1"/>
    <col min="1802" max="2047" width="9" style="84"/>
    <col min="2048" max="2048" width="27.140625" style="84" customWidth="1"/>
    <col min="2049" max="2049" width="9" style="84" customWidth="1"/>
    <col min="2050" max="2051" width="18.7109375" style="84" bestFit="1" customWidth="1"/>
    <col min="2052" max="2053" width="16.85546875" style="84" bestFit="1" customWidth="1"/>
    <col min="2054" max="2054" width="18.7109375" style="84" bestFit="1" customWidth="1"/>
    <col min="2055" max="2055" width="13.28515625" style="84" customWidth="1"/>
    <col min="2056" max="2056" width="12.5703125" style="84" customWidth="1"/>
    <col min="2057" max="2057" width="14.42578125" style="84" bestFit="1" customWidth="1"/>
    <col min="2058" max="2303" width="9" style="84"/>
    <col min="2304" max="2304" width="27.140625" style="84" customWidth="1"/>
    <col min="2305" max="2305" width="9" style="84" customWidth="1"/>
    <col min="2306" max="2307" width="18.7109375" style="84" bestFit="1" customWidth="1"/>
    <col min="2308" max="2309" width="16.85546875" style="84" bestFit="1" customWidth="1"/>
    <col min="2310" max="2310" width="18.7109375" style="84" bestFit="1" customWidth="1"/>
    <col min="2311" max="2311" width="13.28515625" style="84" customWidth="1"/>
    <col min="2312" max="2312" width="12.5703125" style="84" customWidth="1"/>
    <col min="2313" max="2313" width="14.42578125" style="84" bestFit="1" customWidth="1"/>
    <col min="2314" max="2559" width="9" style="84"/>
    <col min="2560" max="2560" width="27.140625" style="84" customWidth="1"/>
    <col min="2561" max="2561" width="9" style="84" customWidth="1"/>
    <col min="2562" max="2563" width="18.7109375" style="84" bestFit="1" customWidth="1"/>
    <col min="2564" max="2565" width="16.85546875" style="84" bestFit="1" customWidth="1"/>
    <col min="2566" max="2566" width="18.7109375" style="84" bestFit="1" customWidth="1"/>
    <col min="2567" max="2567" width="13.28515625" style="84" customWidth="1"/>
    <col min="2568" max="2568" width="12.5703125" style="84" customWidth="1"/>
    <col min="2569" max="2569" width="14.42578125" style="84" bestFit="1" customWidth="1"/>
    <col min="2570" max="2815" width="9" style="84"/>
    <col min="2816" max="2816" width="27.140625" style="84" customWidth="1"/>
    <col min="2817" max="2817" width="9" style="84" customWidth="1"/>
    <col min="2818" max="2819" width="18.7109375" style="84" bestFit="1" customWidth="1"/>
    <col min="2820" max="2821" width="16.85546875" style="84" bestFit="1" customWidth="1"/>
    <col min="2822" max="2822" width="18.7109375" style="84" bestFit="1" customWidth="1"/>
    <col min="2823" max="2823" width="13.28515625" style="84" customWidth="1"/>
    <col min="2824" max="2824" width="12.5703125" style="84" customWidth="1"/>
    <col min="2825" max="2825" width="14.42578125" style="84" bestFit="1" customWidth="1"/>
    <col min="2826" max="3071" width="9" style="84"/>
    <col min="3072" max="3072" width="27.140625" style="84" customWidth="1"/>
    <col min="3073" max="3073" width="9" style="84" customWidth="1"/>
    <col min="3074" max="3075" width="18.7109375" style="84" bestFit="1" customWidth="1"/>
    <col min="3076" max="3077" width="16.85546875" style="84" bestFit="1" customWidth="1"/>
    <col min="3078" max="3078" width="18.7109375" style="84" bestFit="1" customWidth="1"/>
    <col min="3079" max="3079" width="13.28515625" style="84" customWidth="1"/>
    <col min="3080" max="3080" width="12.5703125" style="84" customWidth="1"/>
    <col min="3081" max="3081" width="14.42578125" style="84" bestFit="1" customWidth="1"/>
    <col min="3082" max="3327" width="9" style="84"/>
    <col min="3328" max="3328" width="27.140625" style="84" customWidth="1"/>
    <col min="3329" max="3329" width="9" style="84" customWidth="1"/>
    <col min="3330" max="3331" width="18.7109375" style="84" bestFit="1" customWidth="1"/>
    <col min="3332" max="3333" width="16.85546875" style="84" bestFit="1" customWidth="1"/>
    <col min="3334" max="3334" width="18.7109375" style="84" bestFit="1" customWidth="1"/>
    <col min="3335" max="3335" width="13.28515625" style="84" customWidth="1"/>
    <col min="3336" max="3336" width="12.5703125" style="84" customWidth="1"/>
    <col min="3337" max="3337" width="14.42578125" style="84" bestFit="1" customWidth="1"/>
    <col min="3338" max="3583" width="9" style="84"/>
    <col min="3584" max="3584" width="27.140625" style="84" customWidth="1"/>
    <col min="3585" max="3585" width="9" style="84" customWidth="1"/>
    <col min="3586" max="3587" width="18.7109375" style="84" bestFit="1" customWidth="1"/>
    <col min="3588" max="3589" width="16.85546875" style="84" bestFit="1" customWidth="1"/>
    <col min="3590" max="3590" width="18.7109375" style="84" bestFit="1" customWidth="1"/>
    <col min="3591" max="3591" width="13.28515625" style="84" customWidth="1"/>
    <col min="3592" max="3592" width="12.5703125" style="84" customWidth="1"/>
    <col min="3593" max="3593" width="14.42578125" style="84" bestFit="1" customWidth="1"/>
    <col min="3594" max="3839" width="9" style="84"/>
    <col min="3840" max="3840" width="27.140625" style="84" customWidth="1"/>
    <col min="3841" max="3841" width="9" style="84" customWidth="1"/>
    <col min="3842" max="3843" width="18.7109375" style="84" bestFit="1" customWidth="1"/>
    <col min="3844" max="3845" width="16.85546875" style="84" bestFit="1" customWidth="1"/>
    <col min="3846" max="3846" width="18.7109375" style="84" bestFit="1" customWidth="1"/>
    <col min="3847" max="3847" width="13.28515625" style="84" customWidth="1"/>
    <col min="3848" max="3848" width="12.5703125" style="84" customWidth="1"/>
    <col min="3849" max="3849" width="14.42578125" style="84" bestFit="1" customWidth="1"/>
    <col min="3850" max="4095" width="9" style="84"/>
    <col min="4096" max="4096" width="27.140625" style="84" customWidth="1"/>
    <col min="4097" max="4097" width="9" style="84" customWidth="1"/>
    <col min="4098" max="4099" width="18.7109375" style="84" bestFit="1" customWidth="1"/>
    <col min="4100" max="4101" width="16.85546875" style="84" bestFit="1" customWidth="1"/>
    <col min="4102" max="4102" width="18.7109375" style="84" bestFit="1" customWidth="1"/>
    <col min="4103" max="4103" width="13.28515625" style="84" customWidth="1"/>
    <col min="4104" max="4104" width="12.5703125" style="84" customWidth="1"/>
    <col min="4105" max="4105" width="14.42578125" style="84" bestFit="1" customWidth="1"/>
    <col min="4106" max="4351" width="9" style="84"/>
    <col min="4352" max="4352" width="27.140625" style="84" customWidth="1"/>
    <col min="4353" max="4353" width="9" style="84" customWidth="1"/>
    <col min="4354" max="4355" width="18.7109375" style="84" bestFit="1" customWidth="1"/>
    <col min="4356" max="4357" width="16.85546875" style="84" bestFit="1" customWidth="1"/>
    <col min="4358" max="4358" width="18.7109375" style="84" bestFit="1" customWidth="1"/>
    <col min="4359" max="4359" width="13.28515625" style="84" customWidth="1"/>
    <col min="4360" max="4360" width="12.5703125" style="84" customWidth="1"/>
    <col min="4361" max="4361" width="14.42578125" style="84" bestFit="1" customWidth="1"/>
    <col min="4362" max="4607" width="9" style="84"/>
    <col min="4608" max="4608" width="27.140625" style="84" customWidth="1"/>
    <col min="4609" max="4609" width="9" style="84" customWidth="1"/>
    <col min="4610" max="4611" width="18.7109375" style="84" bestFit="1" customWidth="1"/>
    <col min="4612" max="4613" width="16.85546875" style="84" bestFit="1" customWidth="1"/>
    <col min="4614" max="4614" width="18.7109375" style="84" bestFit="1" customWidth="1"/>
    <col min="4615" max="4615" width="13.28515625" style="84" customWidth="1"/>
    <col min="4616" max="4616" width="12.5703125" style="84" customWidth="1"/>
    <col min="4617" max="4617" width="14.42578125" style="84" bestFit="1" customWidth="1"/>
    <col min="4618" max="4863" width="9" style="84"/>
    <col min="4864" max="4864" width="27.140625" style="84" customWidth="1"/>
    <col min="4865" max="4865" width="9" style="84" customWidth="1"/>
    <col min="4866" max="4867" width="18.7109375" style="84" bestFit="1" customWidth="1"/>
    <col min="4868" max="4869" width="16.85546875" style="84" bestFit="1" customWidth="1"/>
    <col min="4870" max="4870" width="18.7109375" style="84" bestFit="1" customWidth="1"/>
    <col min="4871" max="4871" width="13.28515625" style="84" customWidth="1"/>
    <col min="4872" max="4872" width="12.5703125" style="84" customWidth="1"/>
    <col min="4873" max="4873" width="14.42578125" style="84" bestFit="1" customWidth="1"/>
    <col min="4874" max="5119" width="9" style="84"/>
    <col min="5120" max="5120" width="27.140625" style="84" customWidth="1"/>
    <col min="5121" max="5121" width="9" style="84" customWidth="1"/>
    <col min="5122" max="5123" width="18.7109375" style="84" bestFit="1" customWidth="1"/>
    <col min="5124" max="5125" width="16.85546875" style="84" bestFit="1" customWidth="1"/>
    <col min="5126" max="5126" width="18.7109375" style="84" bestFit="1" customWidth="1"/>
    <col min="5127" max="5127" width="13.28515625" style="84" customWidth="1"/>
    <col min="5128" max="5128" width="12.5703125" style="84" customWidth="1"/>
    <col min="5129" max="5129" width="14.42578125" style="84" bestFit="1" customWidth="1"/>
    <col min="5130" max="5375" width="9" style="84"/>
    <col min="5376" max="5376" width="27.140625" style="84" customWidth="1"/>
    <col min="5377" max="5377" width="9" style="84" customWidth="1"/>
    <col min="5378" max="5379" width="18.7109375" style="84" bestFit="1" customWidth="1"/>
    <col min="5380" max="5381" width="16.85546875" style="84" bestFit="1" customWidth="1"/>
    <col min="5382" max="5382" width="18.7109375" style="84" bestFit="1" customWidth="1"/>
    <col min="5383" max="5383" width="13.28515625" style="84" customWidth="1"/>
    <col min="5384" max="5384" width="12.5703125" style="84" customWidth="1"/>
    <col min="5385" max="5385" width="14.42578125" style="84" bestFit="1" customWidth="1"/>
    <col min="5386" max="5631" width="9" style="84"/>
    <col min="5632" max="5632" width="27.140625" style="84" customWidth="1"/>
    <col min="5633" max="5633" width="9" style="84" customWidth="1"/>
    <col min="5634" max="5635" width="18.7109375" style="84" bestFit="1" customWidth="1"/>
    <col min="5636" max="5637" width="16.85546875" style="84" bestFit="1" customWidth="1"/>
    <col min="5638" max="5638" width="18.7109375" style="84" bestFit="1" customWidth="1"/>
    <col min="5639" max="5639" width="13.28515625" style="84" customWidth="1"/>
    <col min="5640" max="5640" width="12.5703125" style="84" customWidth="1"/>
    <col min="5641" max="5641" width="14.42578125" style="84" bestFit="1" customWidth="1"/>
    <col min="5642" max="5887" width="9" style="84"/>
    <col min="5888" max="5888" width="27.140625" style="84" customWidth="1"/>
    <col min="5889" max="5889" width="9" style="84" customWidth="1"/>
    <col min="5890" max="5891" width="18.7109375" style="84" bestFit="1" customWidth="1"/>
    <col min="5892" max="5893" width="16.85546875" style="84" bestFit="1" customWidth="1"/>
    <col min="5894" max="5894" width="18.7109375" style="84" bestFit="1" customWidth="1"/>
    <col min="5895" max="5895" width="13.28515625" style="84" customWidth="1"/>
    <col min="5896" max="5896" width="12.5703125" style="84" customWidth="1"/>
    <col min="5897" max="5897" width="14.42578125" style="84" bestFit="1" customWidth="1"/>
    <col min="5898" max="6143" width="9" style="84"/>
    <col min="6144" max="6144" width="27.140625" style="84" customWidth="1"/>
    <col min="6145" max="6145" width="9" style="84" customWidth="1"/>
    <col min="6146" max="6147" width="18.7109375" style="84" bestFit="1" customWidth="1"/>
    <col min="6148" max="6149" width="16.85546875" style="84" bestFit="1" customWidth="1"/>
    <col min="6150" max="6150" width="18.7109375" style="84" bestFit="1" customWidth="1"/>
    <col min="6151" max="6151" width="13.28515625" style="84" customWidth="1"/>
    <col min="6152" max="6152" width="12.5703125" style="84" customWidth="1"/>
    <col min="6153" max="6153" width="14.42578125" style="84" bestFit="1" customWidth="1"/>
    <col min="6154" max="6399" width="9" style="84"/>
    <col min="6400" max="6400" width="27.140625" style="84" customWidth="1"/>
    <col min="6401" max="6401" width="9" style="84" customWidth="1"/>
    <col min="6402" max="6403" width="18.7109375" style="84" bestFit="1" customWidth="1"/>
    <col min="6404" max="6405" width="16.85546875" style="84" bestFit="1" customWidth="1"/>
    <col min="6406" max="6406" width="18.7109375" style="84" bestFit="1" customWidth="1"/>
    <col min="6407" max="6407" width="13.28515625" style="84" customWidth="1"/>
    <col min="6408" max="6408" width="12.5703125" style="84" customWidth="1"/>
    <col min="6409" max="6409" width="14.42578125" style="84" bestFit="1" customWidth="1"/>
    <col min="6410" max="6655" width="9" style="84"/>
    <col min="6656" max="6656" width="27.140625" style="84" customWidth="1"/>
    <col min="6657" max="6657" width="9" style="84" customWidth="1"/>
    <col min="6658" max="6659" width="18.7109375" style="84" bestFit="1" customWidth="1"/>
    <col min="6660" max="6661" width="16.85546875" style="84" bestFit="1" customWidth="1"/>
    <col min="6662" max="6662" width="18.7109375" style="84" bestFit="1" customWidth="1"/>
    <col min="6663" max="6663" width="13.28515625" style="84" customWidth="1"/>
    <col min="6664" max="6664" width="12.5703125" style="84" customWidth="1"/>
    <col min="6665" max="6665" width="14.42578125" style="84" bestFit="1" customWidth="1"/>
    <col min="6666" max="6911" width="9" style="84"/>
    <col min="6912" max="6912" width="27.140625" style="84" customWidth="1"/>
    <col min="6913" max="6913" width="9" style="84" customWidth="1"/>
    <col min="6914" max="6915" width="18.7109375" style="84" bestFit="1" customWidth="1"/>
    <col min="6916" max="6917" width="16.85546875" style="84" bestFit="1" customWidth="1"/>
    <col min="6918" max="6918" width="18.7109375" style="84" bestFit="1" customWidth="1"/>
    <col min="6919" max="6919" width="13.28515625" style="84" customWidth="1"/>
    <col min="6920" max="6920" width="12.5703125" style="84" customWidth="1"/>
    <col min="6921" max="6921" width="14.42578125" style="84" bestFit="1" customWidth="1"/>
    <col min="6922" max="7167" width="9" style="84"/>
    <col min="7168" max="7168" width="27.140625" style="84" customWidth="1"/>
    <col min="7169" max="7169" width="9" style="84" customWidth="1"/>
    <col min="7170" max="7171" width="18.7109375" style="84" bestFit="1" customWidth="1"/>
    <col min="7172" max="7173" width="16.85546875" style="84" bestFit="1" customWidth="1"/>
    <col min="7174" max="7174" width="18.7109375" style="84" bestFit="1" customWidth="1"/>
    <col min="7175" max="7175" width="13.28515625" style="84" customWidth="1"/>
    <col min="7176" max="7176" width="12.5703125" style="84" customWidth="1"/>
    <col min="7177" max="7177" width="14.42578125" style="84" bestFit="1" customWidth="1"/>
    <col min="7178" max="7423" width="9" style="84"/>
    <col min="7424" max="7424" width="27.140625" style="84" customWidth="1"/>
    <col min="7425" max="7425" width="9" style="84" customWidth="1"/>
    <col min="7426" max="7427" width="18.7109375" style="84" bestFit="1" customWidth="1"/>
    <col min="7428" max="7429" width="16.85546875" style="84" bestFit="1" customWidth="1"/>
    <col min="7430" max="7430" width="18.7109375" style="84" bestFit="1" customWidth="1"/>
    <col min="7431" max="7431" width="13.28515625" style="84" customWidth="1"/>
    <col min="7432" max="7432" width="12.5703125" style="84" customWidth="1"/>
    <col min="7433" max="7433" width="14.42578125" style="84" bestFit="1" customWidth="1"/>
    <col min="7434" max="7679" width="9" style="84"/>
    <col min="7680" max="7680" width="27.140625" style="84" customWidth="1"/>
    <col min="7681" max="7681" width="9" style="84" customWidth="1"/>
    <col min="7682" max="7683" width="18.7109375" style="84" bestFit="1" customWidth="1"/>
    <col min="7684" max="7685" width="16.85546875" style="84" bestFit="1" customWidth="1"/>
    <col min="7686" max="7686" width="18.7109375" style="84" bestFit="1" customWidth="1"/>
    <col min="7687" max="7687" width="13.28515625" style="84" customWidth="1"/>
    <col min="7688" max="7688" width="12.5703125" style="84" customWidth="1"/>
    <col min="7689" max="7689" width="14.42578125" style="84" bestFit="1" customWidth="1"/>
    <col min="7690" max="7935" width="9" style="84"/>
    <col min="7936" max="7936" width="27.140625" style="84" customWidth="1"/>
    <col min="7937" max="7937" width="9" style="84" customWidth="1"/>
    <col min="7938" max="7939" width="18.7109375" style="84" bestFit="1" customWidth="1"/>
    <col min="7940" max="7941" width="16.85546875" style="84" bestFit="1" customWidth="1"/>
    <col min="7942" max="7942" width="18.7109375" style="84" bestFit="1" customWidth="1"/>
    <col min="7943" max="7943" width="13.28515625" style="84" customWidth="1"/>
    <col min="7944" max="7944" width="12.5703125" style="84" customWidth="1"/>
    <col min="7945" max="7945" width="14.42578125" style="84" bestFit="1" customWidth="1"/>
    <col min="7946" max="8191" width="9" style="84"/>
    <col min="8192" max="8192" width="27.140625" style="84" customWidth="1"/>
    <col min="8193" max="8193" width="9" style="84" customWidth="1"/>
    <col min="8194" max="8195" width="18.7109375" style="84" bestFit="1" customWidth="1"/>
    <col min="8196" max="8197" width="16.85546875" style="84" bestFit="1" customWidth="1"/>
    <col min="8198" max="8198" width="18.7109375" style="84" bestFit="1" customWidth="1"/>
    <col min="8199" max="8199" width="13.28515625" style="84" customWidth="1"/>
    <col min="8200" max="8200" width="12.5703125" style="84" customWidth="1"/>
    <col min="8201" max="8201" width="14.42578125" style="84" bestFit="1" customWidth="1"/>
    <col min="8202" max="8447" width="9" style="84"/>
    <col min="8448" max="8448" width="27.140625" style="84" customWidth="1"/>
    <col min="8449" max="8449" width="9" style="84" customWidth="1"/>
    <col min="8450" max="8451" width="18.7109375" style="84" bestFit="1" customWidth="1"/>
    <col min="8452" max="8453" width="16.85546875" style="84" bestFit="1" customWidth="1"/>
    <col min="8454" max="8454" width="18.7109375" style="84" bestFit="1" customWidth="1"/>
    <col min="8455" max="8455" width="13.28515625" style="84" customWidth="1"/>
    <col min="8456" max="8456" width="12.5703125" style="84" customWidth="1"/>
    <col min="8457" max="8457" width="14.42578125" style="84" bestFit="1" customWidth="1"/>
    <col min="8458" max="8703" width="9" style="84"/>
    <col min="8704" max="8704" width="27.140625" style="84" customWidth="1"/>
    <col min="8705" max="8705" width="9" style="84" customWidth="1"/>
    <col min="8706" max="8707" width="18.7109375" style="84" bestFit="1" customWidth="1"/>
    <col min="8708" max="8709" width="16.85546875" style="84" bestFit="1" customWidth="1"/>
    <col min="8710" max="8710" width="18.7109375" style="84" bestFit="1" customWidth="1"/>
    <col min="8711" max="8711" width="13.28515625" style="84" customWidth="1"/>
    <col min="8712" max="8712" width="12.5703125" style="84" customWidth="1"/>
    <col min="8713" max="8713" width="14.42578125" style="84" bestFit="1" customWidth="1"/>
    <col min="8714" max="8959" width="9" style="84"/>
    <col min="8960" max="8960" width="27.140625" style="84" customWidth="1"/>
    <col min="8961" max="8961" width="9" style="84" customWidth="1"/>
    <col min="8962" max="8963" width="18.7109375" style="84" bestFit="1" customWidth="1"/>
    <col min="8964" max="8965" width="16.85546875" style="84" bestFit="1" customWidth="1"/>
    <col min="8966" max="8966" width="18.7109375" style="84" bestFit="1" customWidth="1"/>
    <col min="8967" max="8967" width="13.28515625" style="84" customWidth="1"/>
    <col min="8968" max="8968" width="12.5703125" style="84" customWidth="1"/>
    <col min="8969" max="8969" width="14.42578125" style="84" bestFit="1" customWidth="1"/>
    <col min="8970" max="9215" width="9" style="84"/>
    <col min="9216" max="9216" width="27.140625" style="84" customWidth="1"/>
    <col min="9217" max="9217" width="9" style="84" customWidth="1"/>
    <col min="9218" max="9219" width="18.7109375" style="84" bestFit="1" customWidth="1"/>
    <col min="9220" max="9221" width="16.85546875" style="84" bestFit="1" customWidth="1"/>
    <col min="9222" max="9222" width="18.7109375" style="84" bestFit="1" customWidth="1"/>
    <col min="9223" max="9223" width="13.28515625" style="84" customWidth="1"/>
    <col min="9224" max="9224" width="12.5703125" style="84" customWidth="1"/>
    <col min="9225" max="9225" width="14.42578125" style="84" bestFit="1" customWidth="1"/>
    <col min="9226" max="9471" width="9" style="84"/>
    <col min="9472" max="9472" width="27.140625" style="84" customWidth="1"/>
    <col min="9473" max="9473" width="9" style="84" customWidth="1"/>
    <col min="9474" max="9475" width="18.7109375" style="84" bestFit="1" customWidth="1"/>
    <col min="9476" max="9477" width="16.85546875" style="84" bestFit="1" customWidth="1"/>
    <col min="9478" max="9478" width="18.7109375" style="84" bestFit="1" customWidth="1"/>
    <col min="9479" max="9479" width="13.28515625" style="84" customWidth="1"/>
    <col min="9480" max="9480" width="12.5703125" style="84" customWidth="1"/>
    <col min="9481" max="9481" width="14.42578125" style="84" bestFit="1" customWidth="1"/>
    <col min="9482" max="9727" width="9" style="84"/>
    <col min="9728" max="9728" width="27.140625" style="84" customWidth="1"/>
    <col min="9729" max="9729" width="9" style="84" customWidth="1"/>
    <col min="9730" max="9731" width="18.7109375" style="84" bestFit="1" customWidth="1"/>
    <col min="9732" max="9733" width="16.85546875" style="84" bestFit="1" customWidth="1"/>
    <col min="9734" max="9734" width="18.7109375" style="84" bestFit="1" customWidth="1"/>
    <col min="9735" max="9735" width="13.28515625" style="84" customWidth="1"/>
    <col min="9736" max="9736" width="12.5703125" style="84" customWidth="1"/>
    <col min="9737" max="9737" width="14.42578125" style="84" bestFit="1" customWidth="1"/>
    <col min="9738" max="9983" width="9" style="84"/>
    <col min="9984" max="9984" width="27.140625" style="84" customWidth="1"/>
    <col min="9985" max="9985" width="9" style="84" customWidth="1"/>
    <col min="9986" max="9987" width="18.7109375" style="84" bestFit="1" customWidth="1"/>
    <col min="9988" max="9989" width="16.85546875" style="84" bestFit="1" customWidth="1"/>
    <col min="9990" max="9990" width="18.7109375" style="84" bestFit="1" customWidth="1"/>
    <col min="9991" max="9991" width="13.28515625" style="84" customWidth="1"/>
    <col min="9992" max="9992" width="12.5703125" style="84" customWidth="1"/>
    <col min="9993" max="9993" width="14.42578125" style="84" bestFit="1" customWidth="1"/>
    <col min="9994" max="10239" width="9" style="84"/>
    <col min="10240" max="10240" width="27.140625" style="84" customWidth="1"/>
    <col min="10241" max="10241" width="9" style="84" customWidth="1"/>
    <col min="10242" max="10243" width="18.7109375" style="84" bestFit="1" customWidth="1"/>
    <col min="10244" max="10245" width="16.85546875" style="84" bestFit="1" customWidth="1"/>
    <col min="10246" max="10246" width="18.7109375" style="84" bestFit="1" customWidth="1"/>
    <col min="10247" max="10247" width="13.28515625" style="84" customWidth="1"/>
    <col min="10248" max="10248" width="12.5703125" style="84" customWidth="1"/>
    <col min="10249" max="10249" width="14.42578125" style="84" bestFit="1" customWidth="1"/>
    <col min="10250" max="10495" width="9" style="84"/>
    <col min="10496" max="10496" width="27.140625" style="84" customWidth="1"/>
    <col min="10497" max="10497" width="9" style="84" customWidth="1"/>
    <col min="10498" max="10499" width="18.7109375" style="84" bestFit="1" customWidth="1"/>
    <col min="10500" max="10501" width="16.85546875" style="84" bestFit="1" customWidth="1"/>
    <col min="10502" max="10502" width="18.7109375" style="84" bestFit="1" customWidth="1"/>
    <col min="10503" max="10503" width="13.28515625" style="84" customWidth="1"/>
    <col min="10504" max="10504" width="12.5703125" style="84" customWidth="1"/>
    <col min="10505" max="10505" width="14.42578125" style="84" bestFit="1" customWidth="1"/>
    <col min="10506" max="10751" width="9" style="84"/>
    <col min="10752" max="10752" width="27.140625" style="84" customWidth="1"/>
    <col min="10753" max="10753" width="9" style="84" customWidth="1"/>
    <col min="10754" max="10755" width="18.7109375" style="84" bestFit="1" customWidth="1"/>
    <col min="10756" max="10757" width="16.85546875" style="84" bestFit="1" customWidth="1"/>
    <col min="10758" max="10758" width="18.7109375" style="84" bestFit="1" customWidth="1"/>
    <col min="10759" max="10759" width="13.28515625" style="84" customWidth="1"/>
    <col min="10760" max="10760" width="12.5703125" style="84" customWidth="1"/>
    <col min="10761" max="10761" width="14.42578125" style="84" bestFit="1" customWidth="1"/>
    <col min="10762" max="11007" width="9" style="84"/>
    <col min="11008" max="11008" width="27.140625" style="84" customWidth="1"/>
    <col min="11009" max="11009" width="9" style="84" customWidth="1"/>
    <col min="11010" max="11011" width="18.7109375" style="84" bestFit="1" customWidth="1"/>
    <col min="11012" max="11013" width="16.85546875" style="84" bestFit="1" customWidth="1"/>
    <col min="11014" max="11014" width="18.7109375" style="84" bestFit="1" customWidth="1"/>
    <col min="11015" max="11015" width="13.28515625" style="84" customWidth="1"/>
    <col min="11016" max="11016" width="12.5703125" style="84" customWidth="1"/>
    <col min="11017" max="11017" width="14.42578125" style="84" bestFit="1" customWidth="1"/>
    <col min="11018" max="11263" width="9" style="84"/>
    <col min="11264" max="11264" width="27.140625" style="84" customWidth="1"/>
    <col min="11265" max="11265" width="9" style="84" customWidth="1"/>
    <col min="11266" max="11267" width="18.7109375" style="84" bestFit="1" customWidth="1"/>
    <col min="11268" max="11269" width="16.85546875" style="84" bestFit="1" customWidth="1"/>
    <col min="11270" max="11270" width="18.7109375" style="84" bestFit="1" customWidth="1"/>
    <col min="11271" max="11271" width="13.28515625" style="84" customWidth="1"/>
    <col min="11272" max="11272" width="12.5703125" style="84" customWidth="1"/>
    <col min="11273" max="11273" width="14.42578125" style="84" bestFit="1" customWidth="1"/>
    <col min="11274" max="11519" width="9" style="84"/>
    <col min="11520" max="11520" width="27.140625" style="84" customWidth="1"/>
    <col min="11521" max="11521" width="9" style="84" customWidth="1"/>
    <col min="11522" max="11523" width="18.7109375" style="84" bestFit="1" customWidth="1"/>
    <col min="11524" max="11525" width="16.85546875" style="84" bestFit="1" customWidth="1"/>
    <col min="11526" max="11526" width="18.7109375" style="84" bestFit="1" customWidth="1"/>
    <col min="11527" max="11527" width="13.28515625" style="84" customWidth="1"/>
    <col min="11528" max="11528" width="12.5703125" style="84" customWidth="1"/>
    <col min="11529" max="11529" width="14.42578125" style="84" bestFit="1" customWidth="1"/>
    <col min="11530" max="11775" width="9" style="84"/>
    <col min="11776" max="11776" width="27.140625" style="84" customWidth="1"/>
    <col min="11777" max="11777" width="9" style="84" customWidth="1"/>
    <col min="11778" max="11779" width="18.7109375" style="84" bestFit="1" customWidth="1"/>
    <col min="11780" max="11781" width="16.85546875" style="84" bestFit="1" customWidth="1"/>
    <col min="11782" max="11782" width="18.7109375" style="84" bestFit="1" customWidth="1"/>
    <col min="11783" max="11783" width="13.28515625" style="84" customWidth="1"/>
    <col min="11784" max="11784" width="12.5703125" style="84" customWidth="1"/>
    <col min="11785" max="11785" width="14.42578125" style="84" bestFit="1" customWidth="1"/>
    <col min="11786" max="12031" width="9" style="84"/>
    <col min="12032" max="12032" width="27.140625" style="84" customWidth="1"/>
    <col min="12033" max="12033" width="9" style="84" customWidth="1"/>
    <col min="12034" max="12035" width="18.7109375" style="84" bestFit="1" customWidth="1"/>
    <col min="12036" max="12037" width="16.85546875" style="84" bestFit="1" customWidth="1"/>
    <col min="12038" max="12038" width="18.7109375" style="84" bestFit="1" customWidth="1"/>
    <col min="12039" max="12039" width="13.28515625" style="84" customWidth="1"/>
    <col min="12040" max="12040" width="12.5703125" style="84" customWidth="1"/>
    <col min="12041" max="12041" width="14.42578125" style="84" bestFit="1" customWidth="1"/>
    <col min="12042" max="12287" width="9" style="84"/>
    <col min="12288" max="12288" width="27.140625" style="84" customWidth="1"/>
    <col min="12289" max="12289" width="9" style="84" customWidth="1"/>
    <col min="12290" max="12291" width="18.7109375" style="84" bestFit="1" customWidth="1"/>
    <col min="12292" max="12293" width="16.85546875" style="84" bestFit="1" customWidth="1"/>
    <col min="12294" max="12294" width="18.7109375" style="84" bestFit="1" customWidth="1"/>
    <col min="12295" max="12295" width="13.28515625" style="84" customWidth="1"/>
    <col min="12296" max="12296" width="12.5703125" style="84" customWidth="1"/>
    <col min="12297" max="12297" width="14.42578125" style="84" bestFit="1" customWidth="1"/>
    <col min="12298" max="12543" width="9" style="84"/>
    <col min="12544" max="12544" width="27.140625" style="84" customWidth="1"/>
    <col min="12545" max="12545" width="9" style="84" customWidth="1"/>
    <col min="12546" max="12547" width="18.7109375" style="84" bestFit="1" customWidth="1"/>
    <col min="12548" max="12549" width="16.85546875" style="84" bestFit="1" customWidth="1"/>
    <col min="12550" max="12550" width="18.7109375" style="84" bestFit="1" customWidth="1"/>
    <col min="12551" max="12551" width="13.28515625" style="84" customWidth="1"/>
    <col min="12552" max="12552" width="12.5703125" style="84" customWidth="1"/>
    <col min="12553" max="12553" width="14.42578125" style="84" bestFit="1" customWidth="1"/>
    <col min="12554" max="12799" width="9" style="84"/>
    <col min="12800" max="12800" width="27.140625" style="84" customWidth="1"/>
    <col min="12801" max="12801" width="9" style="84" customWidth="1"/>
    <col min="12802" max="12803" width="18.7109375" style="84" bestFit="1" customWidth="1"/>
    <col min="12804" max="12805" width="16.85546875" style="84" bestFit="1" customWidth="1"/>
    <col min="12806" max="12806" width="18.7109375" style="84" bestFit="1" customWidth="1"/>
    <col min="12807" max="12807" width="13.28515625" style="84" customWidth="1"/>
    <col min="12808" max="12808" width="12.5703125" style="84" customWidth="1"/>
    <col min="12809" max="12809" width="14.42578125" style="84" bestFit="1" customWidth="1"/>
    <col min="12810" max="13055" width="9" style="84"/>
    <col min="13056" max="13056" width="27.140625" style="84" customWidth="1"/>
    <col min="13057" max="13057" width="9" style="84" customWidth="1"/>
    <col min="13058" max="13059" width="18.7109375" style="84" bestFit="1" customWidth="1"/>
    <col min="13060" max="13061" width="16.85546875" style="84" bestFit="1" customWidth="1"/>
    <col min="13062" max="13062" width="18.7109375" style="84" bestFit="1" customWidth="1"/>
    <col min="13063" max="13063" width="13.28515625" style="84" customWidth="1"/>
    <col min="13064" max="13064" width="12.5703125" style="84" customWidth="1"/>
    <col min="13065" max="13065" width="14.42578125" style="84" bestFit="1" customWidth="1"/>
    <col min="13066" max="13311" width="9" style="84"/>
    <col min="13312" max="13312" width="27.140625" style="84" customWidth="1"/>
    <col min="13313" max="13313" width="9" style="84" customWidth="1"/>
    <col min="13314" max="13315" width="18.7109375" style="84" bestFit="1" customWidth="1"/>
    <col min="13316" max="13317" width="16.85546875" style="84" bestFit="1" customWidth="1"/>
    <col min="13318" max="13318" width="18.7109375" style="84" bestFit="1" customWidth="1"/>
    <col min="13319" max="13319" width="13.28515625" style="84" customWidth="1"/>
    <col min="13320" max="13320" width="12.5703125" style="84" customWidth="1"/>
    <col min="13321" max="13321" width="14.42578125" style="84" bestFit="1" customWidth="1"/>
    <col min="13322" max="13567" width="9" style="84"/>
    <col min="13568" max="13568" width="27.140625" style="84" customWidth="1"/>
    <col min="13569" max="13569" width="9" style="84" customWidth="1"/>
    <col min="13570" max="13571" width="18.7109375" style="84" bestFit="1" customWidth="1"/>
    <col min="13572" max="13573" width="16.85546875" style="84" bestFit="1" customWidth="1"/>
    <col min="13574" max="13574" width="18.7109375" style="84" bestFit="1" customWidth="1"/>
    <col min="13575" max="13575" width="13.28515625" style="84" customWidth="1"/>
    <col min="13576" max="13576" width="12.5703125" style="84" customWidth="1"/>
    <col min="13577" max="13577" width="14.42578125" style="84" bestFit="1" customWidth="1"/>
    <col min="13578" max="13823" width="9" style="84"/>
    <col min="13824" max="13824" width="27.140625" style="84" customWidth="1"/>
    <col min="13825" max="13825" width="9" style="84" customWidth="1"/>
    <col min="13826" max="13827" width="18.7109375" style="84" bestFit="1" customWidth="1"/>
    <col min="13828" max="13829" width="16.85546875" style="84" bestFit="1" customWidth="1"/>
    <col min="13830" max="13830" width="18.7109375" style="84" bestFit="1" customWidth="1"/>
    <col min="13831" max="13831" width="13.28515625" style="84" customWidth="1"/>
    <col min="13832" max="13832" width="12.5703125" style="84" customWidth="1"/>
    <col min="13833" max="13833" width="14.42578125" style="84" bestFit="1" customWidth="1"/>
    <col min="13834" max="14079" width="9" style="84"/>
    <col min="14080" max="14080" width="27.140625" style="84" customWidth="1"/>
    <col min="14081" max="14081" width="9" style="84" customWidth="1"/>
    <col min="14082" max="14083" width="18.7109375" style="84" bestFit="1" customWidth="1"/>
    <col min="14084" max="14085" width="16.85546875" style="84" bestFit="1" customWidth="1"/>
    <col min="14086" max="14086" width="18.7109375" style="84" bestFit="1" customWidth="1"/>
    <col min="14087" max="14087" width="13.28515625" style="84" customWidth="1"/>
    <col min="14088" max="14088" width="12.5703125" style="84" customWidth="1"/>
    <col min="14089" max="14089" width="14.42578125" style="84" bestFit="1" customWidth="1"/>
    <col min="14090" max="14335" width="9" style="84"/>
    <col min="14336" max="14336" width="27.140625" style="84" customWidth="1"/>
    <col min="14337" max="14337" width="9" style="84" customWidth="1"/>
    <col min="14338" max="14339" width="18.7109375" style="84" bestFit="1" customWidth="1"/>
    <col min="14340" max="14341" width="16.85546875" style="84" bestFit="1" customWidth="1"/>
    <col min="14342" max="14342" width="18.7109375" style="84" bestFit="1" customWidth="1"/>
    <col min="14343" max="14343" width="13.28515625" style="84" customWidth="1"/>
    <col min="14344" max="14344" width="12.5703125" style="84" customWidth="1"/>
    <col min="14345" max="14345" width="14.42578125" style="84" bestFit="1" customWidth="1"/>
    <col min="14346" max="14591" width="9" style="84"/>
    <col min="14592" max="14592" width="27.140625" style="84" customWidth="1"/>
    <col min="14593" max="14593" width="9" style="84" customWidth="1"/>
    <col min="14594" max="14595" width="18.7109375" style="84" bestFit="1" customWidth="1"/>
    <col min="14596" max="14597" width="16.85546875" style="84" bestFit="1" customWidth="1"/>
    <col min="14598" max="14598" width="18.7109375" style="84" bestFit="1" customWidth="1"/>
    <col min="14599" max="14599" width="13.28515625" style="84" customWidth="1"/>
    <col min="14600" max="14600" width="12.5703125" style="84" customWidth="1"/>
    <col min="14601" max="14601" width="14.42578125" style="84" bestFit="1" customWidth="1"/>
    <col min="14602" max="14847" width="9" style="84"/>
    <col min="14848" max="14848" width="27.140625" style="84" customWidth="1"/>
    <col min="14849" max="14849" width="9" style="84" customWidth="1"/>
    <col min="14850" max="14851" width="18.7109375" style="84" bestFit="1" customWidth="1"/>
    <col min="14852" max="14853" width="16.85546875" style="84" bestFit="1" customWidth="1"/>
    <col min="14854" max="14854" width="18.7109375" style="84" bestFit="1" customWidth="1"/>
    <col min="14855" max="14855" width="13.28515625" style="84" customWidth="1"/>
    <col min="14856" max="14856" width="12.5703125" style="84" customWidth="1"/>
    <col min="14857" max="14857" width="14.42578125" style="84" bestFit="1" customWidth="1"/>
    <col min="14858" max="15103" width="9" style="84"/>
    <col min="15104" max="15104" width="27.140625" style="84" customWidth="1"/>
    <col min="15105" max="15105" width="9" style="84" customWidth="1"/>
    <col min="15106" max="15107" width="18.7109375" style="84" bestFit="1" customWidth="1"/>
    <col min="15108" max="15109" width="16.85546875" style="84" bestFit="1" customWidth="1"/>
    <col min="15110" max="15110" width="18.7109375" style="84" bestFit="1" customWidth="1"/>
    <col min="15111" max="15111" width="13.28515625" style="84" customWidth="1"/>
    <col min="15112" max="15112" width="12.5703125" style="84" customWidth="1"/>
    <col min="15113" max="15113" width="14.42578125" style="84" bestFit="1" customWidth="1"/>
    <col min="15114" max="15359" width="9" style="84"/>
    <col min="15360" max="15360" width="27.140625" style="84" customWidth="1"/>
    <col min="15361" max="15361" width="9" style="84" customWidth="1"/>
    <col min="15362" max="15363" width="18.7109375" style="84" bestFit="1" customWidth="1"/>
    <col min="15364" max="15365" width="16.85546875" style="84" bestFit="1" customWidth="1"/>
    <col min="15366" max="15366" width="18.7109375" style="84" bestFit="1" customWidth="1"/>
    <col min="15367" max="15367" width="13.28515625" style="84" customWidth="1"/>
    <col min="15368" max="15368" width="12.5703125" style="84" customWidth="1"/>
    <col min="15369" max="15369" width="14.42578125" style="84" bestFit="1" customWidth="1"/>
    <col min="15370" max="15615" width="9" style="84"/>
    <col min="15616" max="15616" width="27.140625" style="84" customWidth="1"/>
    <col min="15617" max="15617" width="9" style="84" customWidth="1"/>
    <col min="15618" max="15619" width="18.7109375" style="84" bestFit="1" customWidth="1"/>
    <col min="15620" max="15621" width="16.85546875" style="84" bestFit="1" customWidth="1"/>
    <col min="15622" max="15622" width="18.7109375" style="84" bestFit="1" customWidth="1"/>
    <col min="15623" max="15623" width="13.28515625" style="84" customWidth="1"/>
    <col min="15624" max="15624" width="12.5703125" style="84" customWidth="1"/>
    <col min="15625" max="15625" width="14.42578125" style="84" bestFit="1" customWidth="1"/>
    <col min="15626" max="15871" width="9" style="84"/>
    <col min="15872" max="15872" width="27.140625" style="84" customWidth="1"/>
    <col min="15873" max="15873" width="9" style="84" customWidth="1"/>
    <col min="15874" max="15875" width="18.7109375" style="84" bestFit="1" customWidth="1"/>
    <col min="15876" max="15877" width="16.85546875" style="84" bestFit="1" customWidth="1"/>
    <col min="15878" max="15878" width="18.7109375" style="84" bestFit="1" customWidth="1"/>
    <col min="15879" max="15879" width="13.28515625" style="84" customWidth="1"/>
    <col min="15880" max="15880" width="12.5703125" style="84" customWidth="1"/>
    <col min="15881" max="15881" width="14.42578125" style="84" bestFit="1" customWidth="1"/>
    <col min="15882" max="16127" width="9" style="84"/>
    <col min="16128" max="16128" width="27.140625" style="84" customWidth="1"/>
    <col min="16129" max="16129" width="9" style="84" customWidth="1"/>
    <col min="16130" max="16131" width="18.7109375" style="84" bestFit="1" customWidth="1"/>
    <col min="16132" max="16133" width="16.85546875" style="84" bestFit="1" customWidth="1"/>
    <col min="16134" max="16134" width="18.7109375" style="84" bestFit="1" customWidth="1"/>
    <col min="16135" max="16135" width="13.28515625" style="84" customWidth="1"/>
    <col min="16136" max="16136" width="12.5703125" style="84" customWidth="1"/>
    <col min="16137" max="16137" width="14.42578125" style="84" bestFit="1" customWidth="1"/>
    <col min="16138" max="16384" width="9" style="84"/>
  </cols>
  <sheetData>
    <row r="1" spans="1:9" x14ac:dyDescent="0.35">
      <c r="A1" s="82" t="s">
        <v>255</v>
      </c>
    </row>
    <row r="2" spans="1:9" x14ac:dyDescent="0.35">
      <c r="I2" s="389" t="s">
        <v>240</v>
      </c>
    </row>
    <row r="3" spans="1:9" s="85" customFormat="1" x14ac:dyDescent="0.35">
      <c r="A3" s="86" t="s">
        <v>256</v>
      </c>
      <c r="B3" s="87" t="s">
        <v>175</v>
      </c>
      <c r="C3" s="87" t="s">
        <v>176</v>
      </c>
      <c r="D3" s="87" t="s">
        <v>0</v>
      </c>
      <c r="E3" s="87" t="s">
        <v>177</v>
      </c>
      <c r="F3" s="87" t="s">
        <v>178</v>
      </c>
      <c r="G3" s="86" t="s">
        <v>246</v>
      </c>
      <c r="H3" s="86" t="s">
        <v>182</v>
      </c>
      <c r="I3" s="86" t="s">
        <v>183</v>
      </c>
    </row>
    <row r="4" spans="1:9" x14ac:dyDescent="0.35">
      <c r="A4" s="88" t="s">
        <v>257</v>
      </c>
      <c r="B4" s="512">
        <v>112077516.9013921</v>
      </c>
      <c r="C4" s="513">
        <v>122569669.84004557</v>
      </c>
      <c r="D4" s="512">
        <v>55598164.677372113</v>
      </c>
      <c r="E4" s="512">
        <v>38553544.880075179</v>
      </c>
      <c r="F4" s="94">
        <f>SUM(B4:E4)</f>
        <v>328798896.29888493</v>
      </c>
      <c r="G4" s="386">
        <v>9625379</v>
      </c>
      <c r="H4" s="514" t="s">
        <v>224</v>
      </c>
      <c r="I4" s="387">
        <f>SUM(F4/G4)</f>
        <v>34.159579201908301</v>
      </c>
    </row>
    <row r="5" spans="1:9" x14ac:dyDescent="0.35">
      <c r="A5" s="91" t="s">
        <v>258</v>
      </c>
      <c r="B5" s="512">
        <v>643862335.24361992</v>
      </c>
      <c r="C5" s="512">
        <v>55694112.831521943</v>
      </c>
      <c r="D5" s="512">
        <v>219513286.39133263</v>
      </c>
      <c r="E5" s="512">
        <v>31308465.752528559</v>
      </c>
      <c r="F5" s="89">
        <f>SUM(B5:E5)</f>
        <v>950378200.21900308</v>
      </c>
      <c r="G5" s="92">
        <v>331941</v>
      </c>
      <c r="H5" s="515" t="s">
        <v>500</v>
      </c>
      <c r="I5" s="90">
        <f>SUM(F5/G5)</f>
        <v>2863.0937432224496</v>
      </c>
    </row>
    <row r="6" spans="1:9" x14ac:dyDescent="0.35">
      <c r="A6" s="91" t="s">
        <v>259</v>
      </c>
      <c r="B6" s="93">
        <v>347015298.79747504</v>
      </c>
      <c r="C6" s="93">
        <v>9486995.2105936278</v>
      </c>
      <c r="D6" s="93">
        <v>2215755.7155823968</v>
      </c>
      <c r="E6" s="93">
        <v>2929931.30403258</v>
      </c>
      <c r="F6" s="89">
        <f>SUM(B6:E6)</f>
        <v>361647981.02768362</v>
      </c>
      <c r="G6" s="92">
        <v>208050</v>
      </c>
      <c r="H6" s="515" t="s">
        <v>327</v>
      </c>
      <c r="I6" s="90">
        <f>SUM(F6/G6)</f>
        <v>1738.2743620652902</v>
      </c>
    </row>
    <row r="7" spans="1:9" x14ac:dyDescent="0.35">
      <c r="A7" s="91" t="s">
        <v>260</v>
      </c>
      <c r="B7" s="512">
        <v>1120124836.877512</v>
      </c>
      <c r="C7" s="513">
        <v>133657614.54783885</v>
      </c>
      <c r="D7" s="512">
        <v>33568862.915712781</v>
      </c>
      <c r="E7" s="512">
        <v>112048729.90336338</v>
      </c>
      <c r="F7" s="94">
        <f>SUM(B7:E7)</f>
        <v>1399400044.2444272</v>
      </c>
      <c r="G7" s="388">
        <v>12</v>
      </c>
      <c r="H7" s="516" t="s">
        <v>331</v>
      </c>
      <c r="I7" s="387">
        <f>SUM(F7/G7)</f>
        <v>116616670.35370226</v>
      </c>
    </row>
    <row r="8" spans="1:9" s="85" customFormat="1" ht="21.75" thickBot="1" x14ac:dyDescent="0.4">
      <c r="A8" s="95" t="s">
        <v>178</v>
      </c>
      <c r="B8" s="96">
        <f t="shared" ref="B8:F8" si="0">SUM(B4:B7)</f>
        <v>2223079987.8199987</v>
      </c>
      <c r="C8" s="96">
        <f t="shared" si="0"/>
        <v>321408392.43000001</v>
      </c>
      <c r="D8" s="96">
        <f t="shared" si="0"/>
        <v>310896069.69999987</v>
      </c>
      <c r="E8" s="96">
        <f t="shared" si="0"/>
        <v>184840671.83999968</v>
      </c>
      <c r="F8" s="96">
        <f t="shared" si="0"/>
        <v>3040225121.789999</v>
      </c>
      <c r="G8" s="97"/>
      <c r="H8" s="98"/>
      <c r="I8" s="99"/>
    </row>
    <row r="9" spans="1:9" ht="21.75" thickTop="1" x14ac:dyDescent="0.35"/>
    <row r="10" spans="1:9" x14ac:dyDescent="0.35">
      <c r="A10" s="81"/>
    </row>
    <row r="14" spans="1:9" hidden="1" x14ac:dyDescent="0.35"/>
    <row r="15" spans="1:9" hidden="1" x14ac:dyDescent="0.35"/>
    <row r="16" spans="1:9" hidden="1" x14ac:dyDescent="0.35"/>
    <row r="17" hidden="1" x14ac:dyDescent="0.35"/>
    <row r="18" hidden="1" x14ac:dyDescent="0.35"/>
    <row r="1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</sheetData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2"/>
  <sheetViews>
    <sheetView zoomScale="115" zoomScaleNormal="115" workbookViewId="0">
      <pane ySplit="4" topLeftCell="A5" activePane="bottomLeft" state="frozen"/>
      <selection pane="bottomLeft"/>
    </sheetView>
  </sheetViews>
  <sheetFormatPr defaultRowHeight="21" x14ac:dyDescent="0.35"/>
  <cols>
    <col min="1" max="1" width="26.5703125" style="2" customWidth="1"/>
    <col min="2" max="2" width="16" style="105" hidden="1" customWidth="1"/>
    <col min="3" max="3" width="11.5703125" style="102" customWidth="1"/>
    <col min="4" max="4" width="10.5703125" style="102" customWidth="1"/>
    <col min="5" max="5" width="10.28515625" style="102" customWidth="1"/>
    <col min="6" max="6" width="10.140625" style="102" customWidth="1"/>
    <col min="7" max="7" width="11.5703125" style="106" customWidth="1"/>
    <col min="8" max="8" width="9.5703125" style="103" bestFit="1" customWidth="1"/>
    <col min="9" max="9" width="8.140625" style="104" customWidth="1"/>
    <col min="10" max="10" width="11.7109375" style="103" bestFit="1" customWidth="1"/>
    <col min="11" max="11" width="26.5703125" style="2" customWidth="1"/>
    <col min="12" max="12" width="16" style="105" hidden="1" customWidth="1"/>
    <col min="13" max="13" width="11.5703125" style="102" customWidth="1"/>
    <col min="14" max="14" width="10.5703125" style="102" customWidth="1"/>
    <col min="15" max="15" width="10.28515625" style="102" customWidth="1"/>
    <col min="16" max="16" width="10.140625" style="102" customWidth="1"/>
    <col min="17" max="17" width="14.28515625" style="106" bestFit="1" customWidth="1"/>
    <col min="18" max="18" width="9.85546875" style="103" customWidth="1"/>
    <col min="19" max="19" width="10" style="104" customWidth="1"/>
    <col min="20" max="20" width="11.7109375" style="102" bestFit="1" customWidth="1"/>
    <col min="21" max="21" width="7" style="103" customWidth="1"/>
    <col min="22" max="22" width="6.5703125" style="2" customWidth="1"/>
    <col min="23" max="23" width="6.42578125" style="2" customWidth="1"/>
    <col min="24" max="24" width="16.140625" style="2" bestFit="1" customWidth="1"/>
    <col min="25" max="256" width="9.140625" style="2"/>
    <col min="257" max="257" width="0" style="2" hidden="1" customWidth="1"/>
    <col min="258" max="258" width="32.5703125" style="2" customWidth="1"/>
    <col min="259" max="259" width="13.85546875" style="2" customWidth="1"/>
    <col min="260" max="260" width="14.140625" style="2" customWidth="1"/>
    <col min="261" max="261" width="13.140625" style="2" bestFit="1" customWidth="1"/>
    <col min="262" max="262" width="13.42578125" style="2" bestFit="1" customWidth="1"/>
    <col min="263" max="263" width="11.85546875" style="2" customWidth="1"/>
    <col min="264" max="264" width="8.7109375" style="2" bestFit="1" customWidth="1"/>
    <col min="265" max="265" width="7.140625" style="2" customWidth="1"/>
    <col min="266" max="266" width="9.7109375" style="2" customWidth="1"/>
    <col min="267" max="267" width="26.5703125" style="2" customWidth="1"/>
    <col min="268" max="268" width="0" style="2" hidden="1" customWidth="1"/>
    <col min="269" max="269" width="11.5703125" style="2" customWidth="1"/>
    <col min="270" max="270" width="10.5703125" style="2" customWidth="1"/>
    <col min="271" max="271" width="10.28515625" style="2" customWidth="1"/>
    <col min="272" max="272" width="10.140625" style="2" customWidth="1"/>
    <col min="273" max="273" width="11.5703125" style="2" customWidth="1"/>
    <col min="274" max="274" width="9.85546875" style="2" customWidth="1"/>
    <col min="275" max="275" width="8.140625" style="2" customWidth="1"/>
    <col min="276" max="276" width="11.7109375" style="2" bestFit="1" customWidth="1"/>
    <col min="277" max="277" width="7" style="2" customWidth="1"/>
    <col min="278" max="278" width="6.5703125" style="2" customWidth="1"/>
    <col min="279" max="279" width="6.42578125" style="2" customWidth="1"/>
    <col min="280" max="512" width="9.140625" style="2"/>
    <col min="513" max="513" width="0" style="2" hidden="1" customWidth="1"/>
    <col min="514" max="514" width="32.5703125" style="2" customWidth="1"/>
    <col min="515" max="515" width="13.85546875" style="2" customWidth="1"/>
    <col min="516" max="516" width="14.140625" style="2" customWidth="1"/>
    <col min="517" max="517" width="13.140625" style="2" bestFit="1" customWidth="1"/>
    <col min="518" max="518" width="13.42578125" style="2" bestFit="1" customWidth="1"/>
    <col min="519" max="519" width="11.85546875" style="2" customWidth="1"/>
    <col min="520" max="520" width="8.7109375" style="2" bestFit="1" customWidth="1"/>
    <col min="521" max="521" width="7.140625" style="2" customWidth="1"/>
    <col min="522" max="522" width="9.7109375" style="2" customWidth="1"/>
    <col min="523" max="523" width="26.5703125" style="2" customWidth="1"/>
    <col min="524" max="524" width="0" style="2" hidden="1" customWidth="1"/>
    <col min="525" max="525" width="11.5703125" style="2" customWidth="1"/>
    <col min="526" max="526" width="10.5703125" style="2" customWidth="1"/>
    <col min="527" max="527" width="10.28515625" style="2" customWidth="1"/>
    <col min="528" max="528" width="10.140625" style="2" customWidth="1"/>
    <col min="529" max="529" width="11.5703125" style="2" customWidth="1"/>
    <col min="530" max="530" width="9.85546875" style="2" customWidth="1"/>
    <col min="531" max="531" width="8.140625" style="2" customWidth="1"/>
    <col min="532" max="532" width="11.7109375" style="2" bestFit="1" customWidth="1"/>
    <col min="533" max="533" width="7" style="2" customWidth="1"/>
    <col min="534" max="534" width="6.5703125" style="2" customWidth="1"/>
    <col min="535" max="535" width="6.42578125" style="2" customWidth="1"/>
    <col min="536" max="768" width="9.140625" style="2"/>
    <col min="769" max="769" width="0" style="2" hidden="1" customWidth="1"/>
    <col min="770" max="770" width="32.5703125" style="2" customWidth="1"/>
    <col min="771" max="771" width="13.85546875" style="2" customWidth="1"/>
    <col min="772" max="772" width="14.140625" style="2" customWidth="1"/>
    <col min="773" max="773" width="13.140625" style="2" bestFit="1" customWidth="1"/>
    <col min="774" max="774" width="13.42578125" style="2" bestFit="1" customWidth="1"/>
    <col min="775" max="775" width="11.85546875" style="2" customWidth="1"/>
    <col min="776" max="776" width="8.7109375" style="2" bestFit="1" customWidth="1"/>
    <col min="777" max="777" width="7.140625" style="2" customWidth="1"/>
    <col min="778" max="778" width="9.7109375" style="2" customWidth="1"/>
    <col min="779" max="779" width="26.5703125" style="2" customWidth="1"/>
    <col min="780" max="780" width="0" style="2" hidden="1" customWidth="1"/>
    <col min="781" max="781" width="11.5703125" style="2" customWidth="1"/>
    <col min="782" max="782" width="10.5703125" style="2" customWidth="1"/>
    <col min="783" max="783" width="10.28515625" style="2" customWidth="1"/>
    <col min="784" max="784" width="10.140625" style="2" customWidth="1"/>
    <col min="785" max="785" width="11.5703125" style="2" customWidth="1"/>
    <col min="786" max="786" width="9.85546875" style="2" customWidth="1"/>
    <col min="787" max="787" width="8.140625" style="2" customWidth="1"/>
    <col min="788" max="788" width="11.7109375" style="2" bestFit="1" customWidth="1"/>
    <col min="789" max="789" width="7" style="2" customWidth="1"/>
    <col min="790" max="790" width="6.5703125" style="2" customWidth="1"/>
    <col min="791" max="791" width="6.42578125" style="2" customWidth="1"/>
    <col min="792" max="1024" width="9.140625" style="2"/>
    <col min="1025" max="1025" width="0" style="2" hidden="1" customWidth="1"/>
    <col min="1026" max="1026" width="32.5703125" style="2" customWidth="1"/>
    <col min="1027" max="1027" width="13.85546875" style="2" customWidth="1"/>
    <col min="1028" max="1028" width="14.140625" style="2" customWidth="1"/>
    <col min="1029" max="1029" width="13.140625" style="2" bestFit="1" customWidth="1"/>
    <col min="1030" max="1030" width="13.42578125" style="2" bestFit="1" customWidth="1"/>
    <col min="1031" max="1031" width="11.85546875" style="2" customWidth="1"/>
    <col min="1032" max="1032" width="8.7109375" style="2" bestFit="1" customWidth="1"/>
    <col min="1033" max="1033" width="7.140625" style="2" customWidth="1"/>
    <col min="1034" max="1034" width="9.7109375" style="2" customWidth="1"/>
    <col min="1035" max="1035" width="26.5703125" style="2" customWidth="1"/>
    <col min="1036" max="1036" width="0" style="2" hidden="1" customWidth="1"/>
    <col min="1037" max="1037" width="11.5703125" style="2" customWidth="1"/>
    <col min="1038" max="1038" width="10.5703125" style="2" customWidth="1"/>
    <col min="1039" max="1039" width="10.28515625" style="2" customWidth="1"/>
    <col min="1040" max="1040" width="10.140625" style="2" customWidth="1"/>
    <col min="1041" max="1041" width="11.5703125" style="2" customWidth="1"/>
    <col min="1042" max="1042" width="9.85546875" style="2" customWidth="1"/>
    <col min="1043" max="1043" width="8.140625" style="2" customWidth="1"/>
    <col min="1044" max="1044" width="11.7109375" style="2" bestFit="1" customWidth="1"/>
    <col min="1045" max="1045" width="7" style="2" customWidth="1"/>
    <col min="1046" max="1046" width="6.5703125" style="2" customWidth="1"/>
    <col min="1047" max="1047" width="6.42578125" style="2" customWidth="1"/>
    <col min="1048" max="1280" width="9.140625" style="2"/>
    <col min="1281" max="1281" width="0" style="2" hidden="1" customWidth="1"/>
    <col min="1282" max="1282" width="32.5703125" style="2" customWidth="1"/>
    <col min="1283" max="1283" width="13.85546875" style="2" customWidth="1"/>
    <col min="1284" max="1284" width="14.140625" style="2" customWidth="1"/>
    <col min="1285" max="1285" width="13.140625" style="2" bestFit="1" customWidth="1"/>
    <col min="1286" max="1286" width="13.42578125" style="2" bestFit="1" customWidth="1"/>
    <col min="1287" max="1287" width="11.85546875" style="2" customWidth="1"/>
    <col min="1288" max="1288" width="8.7109375" style="2" bestFit="1" customWidth="1"/>
    <col min="1289" max="1289" width="7.140625" style="2" customWidth="1"/>
    <col min="1290" max="1290" width="9.7109375" style="2" customWidth="1"/>
    <col min="1291" max="1291" width="26.5703125" style="2" customWidth="1"/>
    <col min="1292" max="1292" width="0" style="2" hidden="1" customWidth="1"/>
    <col min="1293" max="1293" width="11.5703125" style="2" customWidth="1"/>
    <col min="1294" max="1294" width="10.5703125" style="2" customWidth="1"/>
    <col min="1295" max="1295" width="10.28515625" style="2" customWidth="1"/>
    <col min="1296" max="1296" width="10.140625" style="2" customWidth="1"/>
    <col min="1297" max="1297" width="11.5703125" style="2" customWidth="1"/>
    <col min="1298" max="1298" width="9.85546875" style="2" customWidth="1"/>
    <col min="1299" max="1299" width="8.140625" style="2" customWidth="1"/>
    <col min="1300" max="1300" width="11.7109375" style="2" bestFit="1" customWidth="1"/>
    <col min="1301" max="1301" width="7" style="2" customWidth="1"/>
    <col min="1302" max="1302" width="6.5703125" style="2" customWidth="1"/>
    <col min="1303" max="1303" width="6.42578125" style="2" customWidth="1"/>
    <col min="1304" max="1536" width="9.140625" style="2"/>
    <col min="1537" max="1537" width="0" style="2" hidden="1" customWidth="1"/>
    <col min="1538" max="1538" width="32.5703125" style="2" customWidth="1"/>
    <col min="1539" max="1539" width="13.85546875" style="2" customWidth="1"/>
    <col min="1540" max="1540" width="14.140625" style="2" customWidth="1"/>
    <col min="1541" max="1541" width="13.140625" style="2" bestFit="1" customWidth="1"/>
    <col min="1542" max="1542" width="13.42578125" style="2" bestFit="1" customWidth="1"/>
    <col min="1543" max="1543" width="11.85546875" style="2" customWidth="1"/>
    <col min="1544" max="1544" width="8.7109375" style="2" bestFit="1" customWidth="1"/>
    <col min="1545" max="1545" width="7.140625" style="2" customWidth="1"/>
    <col min="1546" max="1546" width="9.7109375" style="2" customWidth="1"/>
    <col min="1547" max="1547" width="26.5703125" style="2" customWidth="1"/>
    <col min="1548" max="1548" width="0" style="2" hidden="1" customWidth="1"/>
    <col min="1549" max="1549" width="11.5703125" style="2" customWidth="1"/>
    <col min="1550" max="1550" width="10.5703125" style="2" customWidth="1"/>
    <col min="1551" max="1551" width="10.28515625" style="2" customWidth="1"/>
    <col min="1552" max="1552" width="10.140625" style="2" customWidth="1"/>
    <col min="1553" max="1553" width="11.5703125" style="2" customWidth="1"/>
    <col min="1554" max="1554" width="9.85546875" style="2" customWidth="1"/>
    <col min="1555" max="1555" width="8.140625" style="2" customWidth="1"/>
    <col min="1556" max="1556" width="11.7109375" style="2" bestFit="1" customWidth="1"/>
    <col min="1557" max="1557" width="7" style="2" customWidth="1"/>
    <col min="1558" max="1558" width="6.5703125" style="2" customWidth="1"/>
    <col min="1559" max="1559" width="6.42578125" style="2" customWidth="1"/>
    <col min="1560" max="1792" width="9.140625" style="2"/>
    <col min="1793" max="1793" width="0" style="2" hidden="1" customWidth="1"/>
    <col min="1794" max="1794" width="32.5703125" style="2" customWidth="1"/>
    <col min="1795" max="1795" width="13.85546875" style="2" customWidth="1"/>
    <col min="1796" max="1796" width="14.140625" style="2" customWidth="1"/>
    <col min="1797" max="1797" width="13.140625" style="2" bestFit="1" customWidth="1"/>
    <col min="1798" max="1798" width="13.42578125" style="2" bestFit="1" customWidth="1"/>
    <col min="1799" max="1799" width="11.85546875" style="2" customWidth="1"/>
    <col min="1800" max="1800" width="8.7109375" style="2" bestFit="1" customWidth="1"/>
    <col min="1801" max="1801" width="7.140625" style="2" customWidth="1"/>
    <col min="1802" max="1802" width="9.7109375" style="2" customWidth="1"/>
    <col min="1803" max="1803" width="26.5703125" style="2" customWidth="1"/>
    <col min="1804" max="1804" width="0" style="2" hidden="1" customWidth="1"/>
    <col min="1805" max="1805" width="11.5703125" style="2" customWidth="1"/>
    <col min="1806" max="1806" width="10.5703125" style="2" customWidth="1"/>
    <col min="1807" max="1807" width="10.28515625" style="2" customWidth="1"/>
    <col min="1808" max="1808" width="10.140625" style="2" customWidth="1"/>
    <col min="1809" max="1809" width="11.5703125" style="2" customWidth="1"/>
    <col min="1810" max="1810" width="9.85546875" style="2" customWidth="1"/>
    <col min="1811" max="1811" width="8.140625" style="2" customWidth="1"/>
    <col min="1812" max="1812" width="11.7109375" style="2" bestFit="1" customWidth="1"/>
    <col min="1813" max="1813" width="7" style="2" customWidth="1"/>
    <col min="1814" max="1814" width="6.5703125" style="2" customWidth="1"/>
    <col min="1815" max="1815" width="6.42578125" style="2" customWidth="1"/>
    <col min="1816" max="2048" width="9.140625" style="2"/>
    <col min="2049" max="2049" width="0" style="2" hidden="1" customWidth="1"/>
    <col min="2050" max="2050" width="32.5703125" style="2" customWidth="1"/>
    <col min="2051" max="2051" width="13.85546875" style="2" customWidth="1"/>
    <col min="2052" max="2052" width="14.140625" style="2" customWidth="1"/>
    <col min="2053" max="2053" width="13.140625" style="2" bestFit="1" customWidth="1"/>
    <col min="2054" max="2054" width="13.42578125" style="2" bestFit="1" customWidth="1"/>
    <col min="2055" max="2055" width="11.85546875" style="2" customWidth="1"/>
    <col min="2056" max="2056" width="8.7109375" style="2" bestFit="1" customWidth="1"/>
    <col min="2057" max="2057" width="7.140625" style="2" customWidth="1"/>
    <col min="2058" max="2058" width="9.7109375" style="2" customWidth="1"/>
    <col min="2059" max="2059" width="26.5703125" style="2" customWidth="1"/>
    <col min="2060" max="2060" width="0" style="2" hidden="1" customWidth="1"/>
    <col min="2061" max="2061" width="11.5703125" style="2" customWidth="1"/>
    <col min="2062" max="2062" width="10.5703125" style="2" customWidth="1"/>
    <col min="2063" max="2063" width="10.28515625" style="2" customWidth="1"/>
    <col min="2064" max="2064" width="10.140625" style="2" customWidth="1"/>
    <col min="2065" max="2065" width="11.5703125" style="2" customWidth="1"/>
    <col min="2066" max="2066" width="9.85546875" style="2" customWidth="1"/>
    <col min="2067" max="2067" width="8.140625" style="2" customWidth="1"/>
    <col min="2068" max="2068" width="11.7109375" style="2" bestFit="1" customWidth="1"/>
    <col min="2069" max="2069" width="7" style="2" customWidth="1"/>
    <col min="2070" max="2070" width="6.5703125" style="2" customWidth="1"/>
    <col min="2071" max="2071" width="6.42578125" style="2" customWidth="1"/>
    <col min="2072" max="2304" width="9.140625" style="2"/>
    <col min="2305" max="2305" width="0" style="2" hidden="1" customWidth="1"/>
    <col min="2306" max="2306" width="32.5703125" style="2" customWidth="1"/>
    <col min="2307" max="2307" width="13.85546875" style="2" customWidth="1"/>
    <col min="2308" max="2308" width="14.140625" style="2" customWidth="1"/>
    <col min="2309" max="2309" width="13.140625" style="2" bestFit="1" customWidth="1"/>
    <col min="2310" max="2310" width="13.42578125" style="2" bestFit="1" customWidth="1"/>
    <col min="2311" max="2311" width="11.85546875" style="2" customWidth="1"/>
    <col min="2312" max="2312" width="8.7109375" style="2" bestFit="1" customWidth="1"/>
    <col min="2313" max="2313" width="7.140625" style="2" customWidth="1"/>
    <col min="2314" max="2314" width="9.7109375" style="2" customWidth="1"/>
    <col min="2315" max="2315" width="26.5703125" style="2" customWidth="1"/>
    <col min="2316" max="2316" width="0" style="2" hidden="1" customWidth="1"/>
    <col min="2317" max="2317" width="11.5703125" style="2" customWidth="1"/>
    <col min="2318" max="2318" width="10.5703125" style="2" customWidth="1"/>
    <col min="2319" max="2319" width="10.28515625" style="2" customWidth="1"/>
    <col min="2320" max="2320" width="10.140625" style="2" customWidth="1"/>
    <col min="2321" max="2321" width="11.5703125" style="2" customWidth="1"/>
    <col min="2322" max="2322" width="9.85546875" style="2" customWidth="1"/>
    <col min="2323" max="2323" width="8.140625" style="2" customWidth="1"/>
    <col min="2324" max="2324" width="11.7109375" style="2" bestFit="1" customWidth="1"/>
    <col min="2325" max="2325" width="7" style="2" customWidth="1"/>
    <col min="2326" max="2326" width="6.5703125" style="2" customWidth="1"/>
    <col min="2327" max="2327" width="6.42578125" style="2" customWidth="1"/>
    <col min="2328" max="2560" width="9.140625" style="2"/>
    <col min="2561" max="2561" width="0" style="2" hidden="1" customWidth="1"/>
    <col min="2562" max="2562" width="32.5703125" style="2" customWidth="1"/>
    <col min="2563" max="2563" width="13.85546875" style="2" customWidth="1"/>
    <col min="2564" max="2564" width="14.140625" style="2" customWidth="1"/>
    <col min="2565" max="2565" width="13.140625" style="2" bestFit="1" customWidth="1"/>
    <col min="2566" max="2566" width="13.42578125" style="2" bestFit="1" customWidth="1"/>
    <col min="2567" max="2567" width="11.85546875" style="2" customWidth="1"/>
    <col min="2568" max="2568" width="8.7109375" style="2" bestFit="1" customWidth="1"/>
    <col min="2569" max="2569" width="7.140625" style="2" customWidth="1"/>
    <col min="2570" max="2570" width="9.7109375" style="2" customWidth="1"/>
    <col min="2571" max="2571" width="26.5703125" style="2" customWidth="1"/>
    <col min="2572" max="2572" width="0" style="2" hidden="1" customWidth="1"/>
    <col min="2573" max="2573" width="11.5703125" style="2" customWidth="1"/>
    <col min="2574" max="2574" width="10.5703125" style="2" customWidth="1"/>
    <col min="2575" max="2575" width="10.28515625" style="2" customWidth="1"/>
    <col min="2576" max="2576" width="10.140625" style="2" customWidth="1"/>
    <col min="2577" max="2577" width="11.5703125" style="2" customWidth="1"/>
    <col min="2578" max="2578" width="9.85546875" style="2" customWidth="1"/>
    <col min="2579" max="2579" width="8.140625" style="2" customWidth="1"/>
    <col min="2580" max="2580" width="11.7109375" style="2" bestFit="1" customWidth="1"/>
    <col min="2581" max="2581" width="7" style="2" customWidth="1"/>
    <col min="2582" max="2582" width="6.5703125" style="2" customWidth="1"/>
    <col min="2583" max="2583" width="6.42578125" style="2" customWidth="1"/>
    <col min="2584" max="2816" width="9.140625" style="2"/>
    <col min="2817" max="2817" width="0" style="2" hidden="1" customWidth="1"/>
    <col min="2818" max="2818" width="32.5703125" style="2" customWidth="1"/>
    <col min="2819" max="2819" width="13.85546875" style="2" customWidth="1"/>
    <col min="2820" max="2820" width="14.140625" style="2" customWidth="1"/>
    <col min="2821" max="2821" width="13.140625" style="2" bestFit="1" customWidth="1"/>
    <col min="2822" max="2822" width="13.42578125" style="2" bestFit="1" customWidth="1"/>
    <col min="2823" max="2823" width="11.85546875" style="2" customWidth="1"/>
    <col min="2824" max="2824" width="8.7109375" style="2" bestFit="1" customWidth="1"/>
    <col min="2825" max="2825" width="7.140625" style="2" customWidth="1"/>
    <col min="2826" max="2826" width="9.7109375" style="2" customWidth="1"/>
    <col min="2827" max="2827" width="26.5703125" style="2" customWidth="1"/>
    <col min="2828" max="2828" width="0" style="2" hidden="1" customWidth="1"/>
    <col min="2829" max="2829" width="11.5703125" style="2" customWidth="1"/>
    <col min="2830" max="2830" width="10.5703125" style="2" customWidth="1"/>
    <col min="2831" max="2831" width="10.28515625" style="2" customWidth="1"/>
    <col min="2832" max="2832" width="10.140625" style="2" customWidth="1"/>
    <col min="2833" max="2833" width="11.5703125" style="2" customWidth="1"/>
    <col min="2834" max="2834" width="9.85546875" style="2" customWidth="1"/>
    <col min="2835" max="2835" width="8.140625" style="2" customWidth="1"/>
    <col min="2836" max="2836" width="11.7109375" style="2" bestFit="1" customWidth="1"/>
    <col min="2837" max="2837" width="7" style="2" customWidth="1"/>
    <col min="2838" max="2838" width="6.5703125" style="2" customWidth="1"/>
    <col min="2839" max="2839" width="6.42578125" style="2" customWidth="1"/>
    <col min="2840" max="3072" width="9.140625" style="2"/>
    <col min="3073" max="3073" width="0" style="2" hidden="1" customWidth="1"/>
    <col min="3074" max="3074" width="32.5703125" style="2" customWidth="1"/>
    <col min="3075" max="3075" width="13.85546875" style="2" customWidth="1"/>
    <col min="3076" max="3076" width="14.140625" style="2" customWidth="1"/>
    <col min="3077" max="3077" width="13.140625" style="2" bestFit="1" customWidth="1"/>
    <col min="3078" max="3078" width="13.42578125" style="2" bestFit="1" customWidth="1"/>
    <col min="3079" max="3079" width="11.85546875" style="2" customWidth="1"/>
    <col min="3080" max="3080" width="8.7109375" style="2" bestFit="1" customWidth="1"/>
    <col min="3081" max="3081" width="7.140625" style="2" customWidth="1"/>
    <col min="3082" max="3082" width="9.7109375" style="2" customWidth="1"/>
    <col min="3083" max="3083" width="26.5703125" style="2" customWidth="1"/>
    <col min="3084" max="3084" width="0" style="2" hidden="1" customWidth="1"/>
    <col min="3085" max="3085" width="11.5703125" style="2" customWidth="1"/>
    <col min="3086" max="3086" width="10.5703125" style="2" customWidth="1"/>
    <col min="3087" max="3087" width="10.28515625" style="2" customWidth="1"/>
    <col min="3088" max="3088" width="10.140625" style="2" customWidth="1"/>
    <col min="3089" max="3089" width="11.5703125" style="2" customWidth="1"/>
    <col min="3090" max="3090" width="9.85546875" style="2" customWidth="1"/>
    <col min="3091" max="3091" width="8.140625" style="2" customWidth="1"/>
    <col min="3092" max="3092" width="11.7109375" style="2" bestFit="1" customWidth="1"/>
    <col min="3093" max="3093" width="7" style="2" customWidth="1"/>
    <col min="3094" max="3094" width="6.5703125" style="2" customWidth="1"/>
    <col min="3095" max="3095" width="6.42578125" style="2" customWidth="1"/>
    <col min="3096" max="3328" width="9.140625" style="2"/>
    <col min="3329" max="3329" width="0" style="2" hidden="1" customWidth="1"/>
    <col min="3330" max="3330" width="32.5703125" style="2" customWidth="1"/>
    <col min="3331" max="3331" width="13.85546875" style="2" customWidth="1"/>
    <col min="3332" max="3332" width="14.140625" style="2" customWidth="1"/>
    <col min="3333" max="3333" width="13.140625" style="2" bestFit="1" customWidth="1"/>
    <col min="3334" max="3334" width="13.42578125" style="2" bestFit="1" customWidth="1"/>
    <col min="3335" max="3335" width="11.85546875" style="2" customWidth="1"/>
    <col min="3336" max="3336" width="8.7109375" style="2" bestFit="1" customWidth="1"/>
    <col min="3337" max="3337" width="7.140625" style="2" customWidth="1"/>
    <col min="3338" max="3338" width="9.7109375" style="2" customWidth="1"/>
    <col min="3339" max="3339" width="26.5703125" style="2" customWidth="1"/>
    <col min="3340" max="3340" width="0" style="2" hidden="1" customWidth="1"/>
    <col min="3341" max="3341" width="11.5703125" style="2" customWidth="1"/>
    <col min="3342" max="3342" width="10.5703125" style="2" customWidth="1"/>
    <col min="3343" max="3343" width="10.28515625" style="2" customWidth="1"/>
    <col min="3344" max="3344" width="10.140625" style="2" customWidth="1"/>
    <col min="3345" max="3345" width="11.5703125" style="2" customWidth="1"/>
    <col min="3346" max="3346" width="9.85546875" style="2" customWidth="1"/>
    <col min="3347" max="3347" width="8.140625" style="2" customWidth="1"/>
    <col min="3348" max="3348" width="11.7109375" style="2" bestFit="1" customWidth="1"/>
    <col min="3349" max="3349" width="7" style="2" customWidth="1"/>
    <col min="3350" max="3350" width="6.5703125" style="2" customWidth="1"/>
    <col min="3351" max="3351" width="6.42578125" style="2" customWidth="1"/>
    <col min="3352" max="3584" width="9.140625" style="2"/>
    <col min="3585" max="3585" width="0" style="2" hidden="1" customWidth="1"/>
    <col min="3586" max="3586" width="32.5703125" style="2" customWidth="1"/>
    <col min="3587" max="3587" width="13.85546875" style="2" customWidth="1"/>
    <col min="3588" max="3588" width="14.140625" style="2" customWidth="1"/>
    <col min="3589" max="3589" width="13.140625" style="2" bestFit="1" customWidth="1"/>
    <col min="3590" max="3590" width="13.42578125" style="2" bestFit="1" customWidth="1"/>
    <col min="3591" max="3591" width="11.85546875" style="2" customWidth="1"/>
    <col min="3592" max="3592" width="8.7109375" style="2" bestFit="1" customWidth="1"/>
    <col min="3593" max="3593" width="7.140625" style="2" customWidth="1"/>
    <col min="3594" max="3594" width="9.7109375" style="2" customWidth="1"/>
    <col min="3595" max="3595" width="26.5703125" style="2" customWidth="1"/>
    <col min="3596" max="3596" width="0" style="2" hidden="1" customWidth="1"/>
    <col min="3597" max="3597" width="11.5703125" style="2" customWidth="1"/>
    <col min="3598" max="3598" width="10.5703125" style="2" customWidth="1"/>
    <col min="3599" max="3599" width="10.28515625" style="2" customWidth="1"/>
    <col min="3600" max="3600" width="10.140625" style="2" customWidth="1"/>
    <col min="3601" max="3601" width="11.5703125" style="2" customWidth="1"/>
    <col min="3602" max="3602" width="9.85546875" style="2" customWidth="1"/>
    <col min="3603" max="3603" width="8.140625" style="2" customWidth="1"/>
    <col min="3604" max="3604" width="11.7109375" style="2" bestFit="1" customWidth="1"/>
    <col min="3605" max="3605" width="7" style="2" customWidth="1"/>
    <col min="3606" max="3606" width="6.5703125" style="2" customWidth="1"/>
    <col min="3607" max="3607" width="6.42578125" style="2" customWidth="1"/>
    <col min="3608" max="3840" width="9.140625" style="2"/>
    <col min="3841" max="3841" width="0" style="2" hidden="1" customWidth="1"/>
    <col min="3842" max="3842" width="32.5703125" style="2" customWidth="1"/>
    <col min="3843" max="3843" width="13.85546875" style="2" customWidth="1"/>
    <col min="3844" max="3844" width="14.140625" style="2" customWidth="1"/>
    <col min="3845" max="3845" width="13.140625" style="2" bestFit="1" customWidth="1"/>
    <col min="3846" max="3846" width="13.42578125" style="2" bestFit="1" customWidth="1"/>
    <col min="3847" max="3847" width="11.85546875" style="2" customWidth="1"/>
    <col min="3848" max="3848" width="8.7109375" style="2" bestFit="1" customWidth="1"/>
    <col min="3849" max="3849" width="7.140625" style="2" customWidth="1"/>
    <col min="3850" max="3850" width="9.7109375" style="2" customWidth="1"/>
    <col min="3851" max="3851" width="26.5703125" style="2" customWidth="1"/>
    <col min="3852" max="3852" width="0" style="2" hidden="1" customWidth="1"/>
    <col min="3853" max="3853" width="11.5703125" style="2" customWidth="1"/>
    <col min="3854" max="3854" width="10.5703125" style="2" customWidth="1"/>
    <col min="3855" max="3855" width="10.28515625" style="2" customWidth="1"/>
    <col min="3856" max="3856" width="10.140625" style="2" customWidth="1"/>
    <col min="3857" max="3857" width="11.5703125" style="2" customWidth="1"/>
    <col min="3858" max="3858" width="9.85546875" style="2" customWidth="1"/>
    <col min="3859" max="3859" width="8.140625" style="2" customWidth="1"/>
    <col min="3860" max="3860" width="11.7109375" style="2" bestFit="1" customWidth="1"/>
    <col min="3861" max="3861" width="7" style="2" customWidth="1"/>
    <col min="3862" max="3862" width="6.5703125" style="2" customWidth="1"/>
    <col min="3863" max="3863" width="6.42578125" style="2" customWidth="1"/>
    <col min="3864" max="4096" width="9.140625" style="2"/>
    <col min="4097" max="4097" width="0" style="2" hidden="1" customWidth="1"/>
    <col min="4098" max="4098" width="32.5703125" style="2" customWidth="1"/>
    <col min="4099" max="4099" width="13.85546875" style="2" customWidth="1"/>
    <col min="4100" max="4100" width="14.140625" style="2" customWidth="1"/>
    <col min="4101" max="4101" width="13.140625" style="2" bestFit="1" customWidth="1"/>
    <col min="4102" max="4102" width="13.42578125" style="2" bestFit="1" customWidth="1"/>
    <col min="4103" max="4103" width="11.85546875" style="2" customWidth="1"/>
    <col min="4104" max="4104" width="8.7109375" style="2" bestFit="1" customWidth="1"/>
    <col min="4105" max="4105" width="7.140625" style="2" customWidth="1"/>
    <col min="4106" max="4106" width="9.7109375" style="2" customWidth="1"/>
    <col min="4107" max="4107" width="26.5703125" style="2" customWidth="1"/>
    <col min="4108" max="4108" width="0" style="2" hidden="1" customWidth="1"/>
    <col min="4109" max="4109" width="11.5703125" style="2" customWidth="1"/>
    <col min="4110" max="4110" width="10.5703125" style="2" customWidth="1"/>
    <col min="4111" max="4111" width="10.28515625" style="2" customWidth="1"/>
    <col min="4112" max="4112" width="10.140625" style="2" customWidth="1"/>
    <col min="4113" max="4113" width="11.5703125" style="2" customWidth="1"/>
    <col min="4114" max="4114" width="9.85546875" style="2" customWidth="1"/>
    <col min="4115" max="4115" width="8.140625" style="2" customWidth="1"/>
    <col min="4116" max="4116" width="11.7109375" style="2" bestFit="1" customWidth="1"/>
    <col min="4117" max="4117" width="7" style="2" customWidth="1"/>
    <col min="4118" max="4118" width="6.5703125" style="2" customWidth="1"/>
    <col min="4119" max="4119" width="6.42578125" style="2" customWidth="1"/>
    <col min="4120" max="4352" width="9.140625" style="2"/>
    <col min="4353" max="4353" width="0" style="2" hidden="1" customWidth="1"/>
    <col min="4354" max="4354" width="32.5703125" style="2" customWidth="1"/>
    <col min="4355" max="4355" width="13.85546875" style="2" customWidth="1"/>
    <col min="4356" max="4356" width="14.140625" style="2" customWidth="1"/>
    <col min="4357" max="4357" width="13.140625" style="2" bestFit="1" customWidth="1"/>
    <col min="4358" max="4358" width="13.42578125" style="2" bestFit="1" customWidth="1"/>
    <col min="4359" max="4359" width="11.85546875" style="2" customWidth="1"/>
    <col min="4360" max="4360" width="8.7109375" style="2" bestFit="1" customWidth="1"/>
    <col min="4361" max="4361" width="7.140625" style="2" customWidth="1"/>
    <col min="4362" max="4362" width="9.7109375" style="2" customWidth="1"/>
    <col min="4363" max="4363" width="26.5703125" style="2" customWidth="1"/>
    <col min="4364" max="4364" width="0" style="2" hidden="1" customWidth="1"/>
    <col min="4365" max="4365" width="11.5703125" style="2" customWidth="1"/>
    <col min="4366" max="4366" width="10.5703125" style="2" customWidth="1"/>
    <col min="4367" max="4367" width="10.28515625" style="2" customWidth="1"/>
    <col min="4368" max="4368" width="10.140625" style="2" customWidth="1"/>
    <col min="4369" max="4369" width="11.5703125" style="2" customWidth="1"/>
    <col min="4370" max="4370" width="9.85546875" style="2" customWidth="1"/>
    <col min="4371" max="4371" width="8.140625" style="2" customWidth="1"/>
    <col min="4372" max="4372" width="11.7109375" style="2" bestFit="1" customWidth="1"/>
    <col min="4373" max="4373" width="7" style="2" customWidth="1"/>
    <col min="4374" max="4374" width="6.5703125" style="2" customWidth="1"/>
    <col min="4375" max="4375" width="6.42578125" style="2" customWidth="1"/>
    <col min="4376" max="4608" width="9.140625" style="2"/>
    <col min="4609" max="4609" width="0" style="2" hidden="1" customWidth="1"/>
    <col min="4610" max="4610" width="32.5703125" style="2" customWidth="1"/>
    <col min="4611" max="4611" width="13.85546875" style="2" customWidth="1"/>
    <col min="4612" max="4612" width="14.140625" style="2" customWidth="1"/>
    <col min="4613" max="4613" width="13.140625" style="2" bestFit="1" customWidth="1"/>
    <col min="4614" max="4614" width="13.42578125" style="2" bestFit="1" customWidth="1"/>
    <col min="4615" max="4615" width="11.85546875" style="2" customWidth="1"/>
    <col min="4616" max="4616" width="8.7109375" style="2" bestFit="1" customWidth="1"/>
    <col min="4617" max="4617" width="7.140625" style="2" customWidth="1"/>
    <col min="4618" max="4618" width="9.7109375" style="2" customWidth="1"/>
    <col min="4619" max="4619" width="26.5703125" style="2" customWidth="1"/>
    <col min="4620" max="4620" width="0" style="2" hidden="1" customWidth="1"/>
    <col min="4621" max="4621" width="11.5703125" style="2" customWidth="1"/>
    <col min="4622" max="4622" width="10.5703125" style="2" customWidth="1"/>
    <col min="4623" max="4623" width="10.28515625" style="2" customWidth="1"/>
    <col min="4624" max="4624" width="10.140625" style="2" customWidth="1"/>
    <col min="4625" max="4625" width="11.5703125" style="2" customWidth="1"/>
    <col min="4626" max="4626" width="9.85546875" style="2" customWidth="1"/>
    <col min="4627" max="4627" width="8.140625" style="2" customWidth="1"/>
    <col min="4628" max="4628" width="11.7109375" style="2" bestFit="1" customWidth="1"/>
    <col min="4629" max="4629" width="7" style="2" customWidth="1"/>
    <col min="4630" max="4630" width="6.5703125" style="2" customWidth="1"/>
    <col min="4631" max="4631" width="6.42578125" style="2" customWidth="1"/>
    <col min="4632" max="4864" width="9.140625" style="2"/>
    <col min="4865" max="4865" width="0" style="2" hidden="1" customWidth="1"/>
    <col min="4866" max="4866" width="32.5703125" style="2" customWidth="1"/>
    <col min="4867" max="4867" width="13.85546875" style="2" customWidth="1"/>
    <col min="4868" max="4868" width="14.140625" style="2" customWidth="1"/>
    <col min="4869" max="4869" width="13.140625" style="2" bestFit="1" customWidth="1"/>
    <col min="4870" max="4870" width="13.42578125" style="2" bestFit="1" customWidth="1"/>
    <col min="4871" max="4871" width="11.85546875" style="2" customWidth="1"/>
    <col min="4872" max="4872" width="8.7109375" style="2" bestFit="1" customWidth="1"/>
    <col min="4873" max="4873" width="7.140625" style="2" customWidth="1"/>
    <col min="4874" max="4874" width="9.7109375" style="2" customWidth="1"/>
    <col min="4875" max="4875" width="26.5703125" style="2" customWidth="1"/>
    <col min="4876" max="4876" width="0" style="2" hidden="1" customWidth="1"/>
    <col min="4877" max="4877" width="11.5703125" style="2" customWidth="1"/>
    <col min="4878" max="4878" width="10.5703125" style="2" customWidth="1"/>
    <col min="4879" max="4879" width="10.28515625" style="2" customWidth="1"/>
    <col min="4880" max="4880" width="10.140625" style="2" customWidth="1"/>
    <col min="4881" max="4881" width="11.5703125" style="2" customWidth="1"/>
    <col min="4882" max="4882" width="9.85546875" style="2" customWidth="1"/>
    <col min="4883" max="4883" width="8.140625" style="2" customWidth="1"/>
    <col min="4884" max="4884" width="11.7109375" style="2" bestFit="1" customWidth="1"/>
    <col min="4885" max="4885" width="7" style="2" customWidth="1"/>
    <col min="4886" max="4886" width="6.5703125" style="2" customWidth="1"/>
    <col min="4887" max="4887" width="6.42578125" style="2" customWidth="1"/>
    <col min="4888" max="5120" width="9.140625" style="2"/>
    <col min="5121" max="5121" width="0" style="2" hidden="1" customWidth="1"/>
    <col min="5122" max="5122" width="32.5703125" style="2" customWidth="1"/>
    <col min="5123" max="5123" width="13.85546875" style="2" customWidth="1"/>
    <col min="5124" max="5124" width="14.140625" style="2" customWidth="1"/>
    <col min="5125" max="5125" width="13.140625" style="2" bestFit="1" customWidth="1"/>
    <col min="5126" max="5126" width="13.42578125" style="2" bestFit="1" customWidth="1"/>
    <col min="5127" max="5127" width="11.85546875" style="2" customWidth="1"/>
    <col min="5128" max="5128" width="8.7109375" style="2" bestFit="1" customWidth="1"/>
    <col min="5129" max="5129" width="7.140625" style="2" customWidth="1"/>
    <col min="5130" max="5130" width="9.7109375" style="2" customWidth="1"/>
    <col min="5131" max="5131" width="26.5703125" style="2" customWidth="1"/>
    <col min="5132" max="5132" width="0" style="2" hidden="1" customWidth="1"/>
    <col min="5133" max="5133" width="11.5703125" style="2" customWidth="1"/>
    <col min="5134" max="5134" width="10.5703125" style="2" customWidth="1"/>
    <col min="5135" max="5135" width="10.28515625" style="2" customWidth="1"/>
    <col min="5136" max="5136" width="10.140625" style="2" customWidth="1"/>
    <col min="5137" max="5137" width="11.5703125" style="2" customWidth="1"/>
    <col min="5138" max="5138" width="9.85546875" style="2" customWidth="1"/>
    <col min="5139" max="5139" width="8.140625" style="2" customWidth="1"/>
    <col min="5140" max="5140" width="11.7109375" style="2" bestFit="1" customWidth="1"/>
    <col min="5141" max="5141" width="7" style="2" customWidth="1"/>
    <col min="5142" max="5142" width="6.5703125" style="2" customWidth="1"/>
    <col min="5143" max="5143" width="6.42578125" style="2" customWidth="1"/>
    <col min="5144" max="5376" width="9.140625" style="2"/>
    <col min="5377" max="5377" width="0" style="2" hidden="1" customWidth="1"/>
    <col min="5378" max="5378" width="32.5703125" style="2" customWidth="1"/>
    <col min="5379" max="5379" width="13.85546875" style="2" customWidth="1"/>
    <col min="5380" max="5380" width="14.140625" style="2" customWidth="1"/>
    <col min="5381" max="5381" width="13.140625" style="2" bestFit="1" customWidth="1"/>
    <col min="5382" max="5382" width="13.42578125" style="2" bestFit="1" customWidth="1"/>
    <col min="5383" max="5383" width="11.85546875" style="2" customWidth="1"/>
    <col min="5384" max="5384" width="8.7109375" style="2" bestFit="1" customWidth="1"/>
    <col min="5385" max="5385" width="7.140625" style="2" customWidth="1"/>
    <col min="5386" max="5386" width="9.7109375" style="2" customWidth="1"/>
    <col min="5387" max="5387" width="26.5703125" style="2" customWidth="1"/>
    <col min="5388" max="5388" width="0" style="2" hidden="1" customWidth="1"/>
    <col min="5389" max="5389" width="11.5703125" style="2" customWidth="1"/>
    <col min="5390" max="5390" width="10.5703125" style="2" customWidth="1"/>
    <col min="5391" max="5391" width="10.28515625" style="2" customWidth="1"/>
    <col min="5392" max="5392" width="10.140625" style="2" customWidth="1"/>
    <col min="5393" max="5393" width="11.5703125" style="2" customWidth="1"/>
    <col min="5394" max="5394" width="9.85546875" style="2" customWidth="1"/>
    <col min="5395" max="5395" width="8.140625" style="2" customWidth="1"/>
    <col min="5396" max="5396" width="11.7109375" style="2" bestFit="1" customWidth="1"/>
    <col min="5397" max="5397" width="7" style="2" customWidth="1"/>
    <col min="5398" max="5398" width="6.5703125" style="2" customWidth="1"/>
    <col min="5399" max="5399" width="6.42578125" style="2" customWidth="1"/>
    <col min="5400" max="5632" width="9.140625" style="2"/>
    <col min="5633" max="5633" width="0" style="2" hidden="1" customWidth="1"/>
    <col min="5634" max="5634" width="32.5703125" style="2" customWidth="1"/>
    <col min="5635" max="5635" width="13.85546875" style="2" customWidth="1"/>
    <col min="5636" max="5636" width="14.140625" style="2" customWidth="1"/>
    <col min="5637" max="5637" width="13.140625" style="2" bestFit="1" customWidth="1"/>
    <col min="5638" max="5638" width="13.42578125" style="2" bestFit="1" customWidth="1"/>
    <col min="5639" max="5639" width="11.85546875" style="2" customWidth="1"/>
    <col min="5640" max="5640" width="8.7109375" style="2" bestFit="1" customWidth="1"/>
    <col min="5641" max="5641" width="7.140625" style="2" customWidth="1"/>
    <col min="5642" max="5642" width="9.7109375" style="2" customWidth="1"/>
    <col min="5643" max="5643" width="26.5703125" style="2" customWidth="1"/>
    <col min="5644" max="5644" width="0" style="2" hidden="1" customWidth="1"/>
    <col min="5645" max="5645" width="11.5703125" style="2" customWidth="1"/>
    <col min="5646" max="5646" width="10.5703125" style="2" customWidth="1"/>
    <col min="5647" max="5647" width="10.28515625" style="2" customWidth="1"/>
    <col min="5648" max="5648" width="10.140625" style="2" customWidth="1"/>
    <col min="5649" max="5649" width="11.5703125" style="2" customWidth="1"/>
    <col min="5650" max="5650" width="9.85546875" style="2" customWidth="1"/>
    <col min="5651" max="5651" width="8.140625" style="2" customWidth="1"/>
    <col min="5652" max="5652" width="11.7109375" style="2" bestFit="1" customWidth="1"/>
    <col min="5653" max="5653" width="7" style="2" customWidth="1"/>
    <col min="5654" max="5654" width="6.5703125" style="2" customWidth="1"/>
    <col min="5655" max="5655" width="6.42578125" style="2" customWidth="1"/>
    <col min="5656" max="5888" width="9.140625" style="2"/>
    <col min="5889" max="5889" width="0" style="2" hidden="1" customWidth="1"/>
    <col min="5890" max="5890" width="32.5703125" style="2" customWidth="1"/>
    <col min="5891" max="5891" width="13.85546875" style="2" customWidth="1"/>
    <col min="5892" max="5892" width="14.140625" style="2" customWidth="1"/>
    <col min="5893" max="5893" width="13.140625" style="2" bestFit="1" customWidth="1"/>
    <col min="5894" max="5894" width="13.42578125" style="2" bestFit="1" customWidth="1"/>
    <col min="5895" max="5895" width="11.85546875" style="2" customWidth="1"/>
    <col min="5896" max="5896" width="8.7109375" style="2" bestFit="1" customWidth="1"/>
    <col min="5897" max="5897" width="7.140625" style="2" customWidth="1"/>
    <col min="5898" max="5898" width="9.7109375" style="2" customWidth="1"/>
    <col min="5899" max="5899" width="26.5703125" style="2" customWidth="1"/>
    <col min="5900" max="5900" width="0" style="2" hidden="1" customWidth="1"/>
    <col min="5901" max="5901" width="11.5703125" style="2" customWidth="1"/>
    <col min="5902" max="5902" width="10.5703125" style="2" customWidth="1"/>
    <col min="5903" max="5903" width="10.28515625" style="2" customWidth="1"/>
    <col min="5904" max="5904" width="10.140625" style="2" customWidth="1"/>
    <col min="5905" max="5905" width="11.5703125" style="2" customWidth="1"/>
    <col min="5906" max="5906" width="9.85546875" style="2" customWidth="1"/>
    <col min="5907" max="5907" width="8.140625" style="2" customWidth="1"/>
    <col min="5908" max="5908" width="11.7109375" style="2" bestFit="1" customWidth="1"/>
    <col min="5909" max="5909" width="7" style="2" customWidth="1"/>
    <col min="5910" max="5910" width="6.5703125" style="2" customWidth="1"/>
    <col min="5911" max="5911" width="6.42578125" style="2" customWidth="1"/>
    <col min="5912" max="6144" width="9.140625" style="2"/>
    <col min="6145" max="6145" width="0" style="2" hidden="1" customWidth="1"/>
    <col min="6146" max="6146" width="32.5703125" style="2" customWidth="1"/>
    <col min="6147" max="6147" width="13.85546875" style="2" customWidth="1"/>
    <col min="6148" max="6148" width="14.140625" style="2" customWidth="1"/>
    <col min="6149" max="6149" width="13.140625" style="2" bestFit="1" customWidth="1"/>
    <col min="6150" max="6150" width="13.42578125" style="2" bestFit="1" customWidth="1"/>
    <col min="6151" max="6151" width="11.85546875" style="2" customWidth="1"/>
    <col min="6152" max="6152" width="8.7109375" style="2" bestFit="1" customWidth="1"/>
    <col min="6153" max="6153" width="7.140625" style="2" customWidth="1"/>
    <col min="6154" max="6154" width="9.7109375" style="2" customWidth="1"/>
    <col min="6155" max="6155" width="26.5703125" style="2" customWidth="1"/>
    <col min="6156" max="6156" width="0" style="2" hidden="1" customWidth="1"/>
    <col min="6157" max="6157" width="11.5703125" style="2" customWidth="1"/>
    <col min="6158" max="6158" width="10.5703125" style="2" customWidth="1"/>
    <col min="6159" max="6159" width="10.28515625" style="2" customWidth="1"/>
    <col min="6160" max="6160" width="10.140625" style="2" customWidth="1"/>
    <col min="6161" max="6161" width="11.5703125" style="2" customWidth="1"/>
    <col min="6162" max="6162" width="9.85546875" style="2" customWidth="1"/>
    <col min="6163" max="6163" width="8.140625" style="2" customWidth="1"/>
    <col min="6164" max="6164" width="11.7109375" style="2" bestFit="1" customWidth="1"/>
    <col min="6165" max="6165" width="7" style="2" customWidth="1"/>
    <col min="6166" max="6166" width="6.5703125" style="2" customWidth="1"/>
    <col min="6167" max="6167" width="6.42578125" style="2" customWidth="1"/>
    <col min="6168" max="6400" width="9.140625" style="2"/>
    <col min="6401" max="6401" width="0" style="2" hidden="1" customWidth="1"/>
    <col min="6402" max="6402" width="32.5703125" style="2" customWidth="1"/>
    <col min="6403" max="6403" width="13.85546875" style="2" customWidth="1"/>
    <col min="6404" max="6404" width="14.140625" style="2" customWidth="1"/>
    <col min="6405" max="6405" width="13.140625" style="2" bestFit="1" customWidth="1"/>
    <col min="6406" max="6406" width="13.42578125" style="2" bestFit="1" customWidth="1"/>
    <col min="6407" max="6407" width="11.85546875" style="2" customWidth="1"/>
    <col min="6408" max="6408" width="8.7109375" style="2" bestFit="1" customWidth="1"/>
    <col min="6409" max="6409" width="7.140625" style="2" customWidth="1"/>
    <col min="6410" max="6410" width="9.7109375" style="2" customWidth="1"/>
    <col min="6411" max="6411" width="26.5703125" style="2" customWidth="1"/>
    <col min="6412" max="6412" width="0" style="2" hidden="1" customWidth="1"/>
    <col min="6413" max="6413" width="11.5703125" style="2" customWidth="1"/>
    <col min="6414" max="6414" width="10.5703125" style="2" customWidth="1"/>
    <col min="6415" max="6415" width="10.28515625" style="2" customWidth="1"/>
    <col min="6416" max="6416" width="10.140625" style="2" customWidth="1"/>
    <col min="6417" max="6417" width="11.5703125" style="2" customWidth="1"/>
    <col min="6418" max="6418" width="9.85546875" style="2" customWidth="1"/>
    <col min="6419" max="6419" width="8.140625" style="2" customWidth="1"/>
    <col min="6420" max="6420" width="11.7109375" style="2" bestFit="1" customWidth="1"/>
    <col min="6421" max="6421" width="7" style="2" customWidth="1"/>
    <col min="6422" max="6422" width="6.5703125" style="2" customWidth="1"/>
    <col min="6423" max="6423" width="6.42578125" style="2" customWidth="1"/>
    <col min="6424" max="6656" width="9.140625" style="2"/>
    <col min="6657" max="6657" width="0" style="2" hidden="1" customWidth="1"/>
    <col min="6658" max="6658" width="32.5703125" style="2" customWidth="1"/>
    <col min="6659" max="6659" width="13.85546875" style="2" customWidth="1"/>
    <col min="6660" max="6660" width="14.140625" style="2" customWidth="1"/>
    <col min="6661" max="6661" width="13.140625" style="2" bestFit="1" customWidth="1"/>
    <col min="6662" max="6662" width="13.42578125" style="2" bestFit="1" customWidth="1"/>
    <col min="6663" max="6663" width="11.85546875" style="2" customWidth="1"/>
    <col min="6664" max="6664" width="8.7109375" style="2" bestFit="1" customWidth="1"/>
    <col min="6665" max="6665" width="7.140625" style="2" customWidth="1"/>
    <col min="6666" max="6666" width="9.7109375" style="2" customWidth="1"/>
    <col min="6667" max="6667" width="26.5703125" style="2" customWidth="1"/>
    <col min="6668" max="6668" width="0" style="2" hidden="1" customWidth="1"/>
    <col min="6669" max="6669" width="11.5703125" style="2" customWidth="1"/>
    <col min="6670" max="6670" width="10.5703125" style="2" customWidth="1"/>
    <col min="6671" max="6671" width="10.28515625" style="2" customWidth="1"/>
    <col min="6672" max="6672" width="10.140625" style="2" customWidth="1"/>
    <col min="6673" max="6673" width="11.5703125" style="2" customWidth="1"/>
    <col min="6674" max="6674" width="9.85546875" style="2" customWidth="1"/>
    <col min="6675" max="6675" width="8.140625" style="2" customWidth="1"/>
    <col min="6676" max="6676" width="11.7109375" style="2" bestFit="1" customWidth="1"/>
    <col min="6677" max="6677" width="7" style="2" customWidth="1"/>
    <col min="6678" max="6678" width="6.5703125" style="2" customWidth="1"/>
    <col min="6679" max="6679" width="6.42578125" style="2" customWidth="1"/>
    <col min="6680" max="6912" width="9.140625" style="2"/>
    <col min="6913" max="6913" width="0" style="2" hidden="1" customWidth="1"/>
    <col min="6914" max="6914" width="32.5703125" style="2" customWidth="1"/>
    <col min="6915" max="6915" width="13.85546875" style="2" customWidth="1"/>
    <col min="6916" max="6916" width="14.140625" style="2" customWidth="1"/>
    <col min="6917" max="6917" width="13.140625" style="2" bestFit="1" customWidth="1"/>
    <col min="6918" max="6918" width="13.42578125" style="2" bestFit="1" customWidth="1"/>
    <col min="6919" max="6919" width="11.85546875" style="2" customWidth="1"/>
    <col min="6920" max="6920" width="8.7109375" style="2" bestFit="1" customWidth="1"/>
    <col min="6921" max="6921" width="7.140625" style="2" customWidth="1"/>
    <col min="6922" max="6922" width="9.7109375" style="2" customWidth="1"/>
    <col min="6923" max="6923" width="26.5703125" style="2" customWidth="1"/>
    <col min="6924" max="6924" width="0" style="2" hidden="1" customWidth="1"/>
    <col min="6925" max="6925" width="11.5703125" style="2" customWidth="1"/>
    <col min="6926" max="6926" width="10.5703125" style="2" customWidth="1"/>
    <col min="6927" max="6927" width="10.28515625" style="2" customWidth="1"/>
    <col min="6928" max="6928" width="10.140625" style="2" customWidth="1"/>
    <col min="6929" max="6929" width="11.5703125" style="2" customWidth="1"/>
    <col min="6930" max="6930" width="9.85546875" style="2" customWidth="1"/>
    <col min="6931" max="6931" width="8.140625" style="2" customWidth="1"/>
    <col min="6932" max="6932" width="11.7109375" style="2" bestFit="1" customWidth="1"/>
    <col min="6933" max="6933" width="7" style="2" customWidth="1"/>
    <col min="6934" max="6934" width="6.5703125" style="2" customWidth="1"/>
    <col min="6935" max="6935" width="6.42578125" style="2" customWidth="1"/>
    <col min="6936" max="7168" width="9.140625" style="2"/>
    <col min="7169" max="7169" width="0" style="2" hidden="1" customWidth="1"/>
    <col min="7170" max="7170" width="32.5703125" style="2" customWidth="1"/>
    <col min="7171" max="7171" width="13.85546875" style="2" customWidth="1"/>
    <col min="7172" max="7172" width="14.140625" style="2" customWidth="1"/>
    <col min="7173" max="7173" width="13.140625" style="2" bestFit="1" customWidth="1"/>
    <col min="7174" max="7174" width="13.42578125" style="2" bestFit="1" customWidth="1"/>
    <col min="7175" max="7175" width="11.85546875" style="2" customWidth="1"/>
    <col min="7176" max="7176" width="8.7109375" style="2" bestFit="1" customWidth="1"/>
    <col min="7177" max="7177" width="7.140625" style="2" customWidth="1"/>
    <col min="7178" max="7178" width="9.7109375" style="2" customWidth="1"/>
    <col min="7179" max="7179" width="26.5703125" style="2" customWidth="1"/>
    <col min="7180" max="7180" width="0" style="2" hidden="1" customWidth="1"/>
    <col min="7181" max="7181" width="11.5703125" style="2" customWidth="1"/>
    <col min="7182" max="7182" width="10.5703125" style="2" customWidth="1"/>
    <col min="7183" max="7183" width="10.28515625" style="2" customWidth="1"/>
    <col min="7184" max="7184" width="10.140625" style="2" customWidth="1"/>
    <col min="7185" max="7185" width="11.5703125" style="2" customWidth="1"/>
    <col min="7186" max="7186" width="9.85546875" style="2" customWidth="1"/>
    <col min="7187" max="7187" width="8.140625" style="2" customWidth="1"/>
    <col min="7188" max="7188" width="11.7109375" style="2" bestFit="1" customWidth="1"/>
    <col min="7189" max="7189" width="7" style="2" customWidth="1"/>
    <col min="7190" max="7190" width="6.5703125" style="2" customWidth="1"/>
    <col min="7191" max="7191" width="6.42578125" style="2" customWidth="1"/>
    <col min="7192" max="7424" width="9.140625" style="2"/>
    <col min="7425" max="7425" width="0" style="2" hidden="1" customWidth="1"/>
    <col min="7426" max="7426" width="32.5703125" style="2" customWidth="1"/>
    <col min="7427" max="7427" width="13.85546875" style="2" customWidth="1"/>
    <col min="7428" max="7428" width="14.140625" style="2" customWidth="1"/>
    <col min="7429" max="7429" width="13.140625" style="2" bestFit="1" customWidth="1"/>
    <col min="7430" max="7430" width="13.42578125" style="2" bestFit="1" customWidth="1"/>
    <col min="7431" max="7431" width="11.85546875" style="2" customWidth="1"/>
    <col min="7432" max="7432" width="8.7109375" style="2" bestFit="1" customWidth="1"/>
    <col min="7433" max="7433" width="7.140625" style="2" customWidth="1"/>
    <col min="7434" max="7434" width="9.7109375" style="2" customWidth="1"/>
    <col min="7435" max="7435" width="26.5703125" style="2" customWidth="1"/>
    <col min="7436" max="7436" width="0" style="2" hidden="1" customWidth="1"/>
    <col min="7437" max="7437" width="11.5703125" style="2" customWidth="1"/>
    <col min="7438" max="7438" width="10.5703125" style="2" customWidth="1"/>
    <col min="7439" max="7439" width="10.28515625" style="2" customWidth="1"/>
    <col min="7440" max="7440" width="10.140625" style="2" customWidth="1"/>
    <col min="7441" max="7441" width="11.5703125" style="2" customWidth="1"/>
    <col min="7442" max="7442" width="9.85546875" style="2" customWidth="1"/>
    <col min="7443" max="7443" width="8.140625" style="2" customWidth="1"/>
    <col min="7444" max="7444" width="11.7109375" style="2" bestFit="1" customWidth="1"/>
    <col min="7445" max="7445" width="7" style="2" customWidth="1"/>
    <col min="7446" max="7446" width="6.5703125" style="2" customWidth="1"/>
    <col min="7447" max="7447" width="6.42578125" style="2" customWidth="1"/>
    <col min="7448" max="7680" width="9.140625" style="2"/>
    <col min="7681" max="7681" width="0" style="2" hidden="1" customWidth="1"/>
    <col min="7682" max="7682" width="32.5703125" style="2" customWidth="1"/>
    <col min="7683" max="7683" width="13.85546875" style="2" customWidth="1"/>
    <col min="7684" max="7684" width="14.140625" style="2" customWidth="1"/>
    <col min="7685" max="7685" width="13.140625" style="2" bestFit="1" customWidth="1"/>
    <col min="7686" max="7686" width="13.42578125" style="2" bestFit="1" customWidth="1"/>
    <col min="7687" max="7687" width="11.85546875" style="2" customWidth="1"/>
    <col min="7688" max="7688" width="8.7109375" style="2" bestFit="1" customWidth="1"/>
    <col min="7689" max="7689" width="7.140625" style="2" customWidth="1"/>
    <col min="7690" max="7690" width="9.7109375" style="2" customWidth="1"/>
    <col min="7691" max="7691" width="26.5703125" style="2" customWidth="1"/>
    <col min="7692" max="7692" width="0" style="2" hidden="1" customWidth="1"/>
    <col min="7693" max="7693" width="11.5703125" style="2" customWidth="1"/>
    <col min="7694" max="7694" width="10.5703125" style="2" customWidth="1"/>
    <col min="7695" max="7695" width="10.28515625" style="2" customWidth="1"/>
    <col min="7696" max="7696" width="10.140625" style="2" customWidth="1"/>
    <col min="7697" max="7697" width="11.5703125" style="2" customWidth="1"/>
    <col min="7698" max="7698" width="9.85546875" style="2" customWidth="1"/>
    <col min="7699" max="7699" width="8.140625" style="2" customWidth="1"/>
    <col min="7700" max="7700" width="11.7109375" style="2" bestFit="1" customWidth="1"/>
    <col min="7701" max="7701" width="7" style="2" customWidth="1"/>
    <col min="7702" max="7702" width="6.5703125" style="2" customWidth="1"/>
    <col min="7703" max="7703" width="6.42578125" style="2" customWidth="1"/>
    <col min="7704" max="7936" width="9.140625" style="2"/>
    <col min="7937" max="7937" width="0" style="2" hidden="1" customWidth="1"/>
    <col min="7938" max="7938" width="32.5703125" style="2" customWidth="1"/>
    <col min="7939" max="7939" width="13.85546875" style="2" customWidth="1"/>
    <col min="7940" max="7940" width="14.140625" style="2" customWidth="1"/>
    <col min="7941" max="7941" width="13.140625" style="2" bestFit="1" customWidth="1"/>
    <col min="7942" max="7942" width="13.42578125" style="2" bestFit="1" customWidth="1"/>
    <col min="7943" max="7943" width="11.85546875" style="2" customWidth="1"/>
    <col min="7944" max="7944" width="8.7109375" style="2" bestFit="1" customWidth="1"/>
    <col min="7945" max="7945" width="7.140625" style="2" customWidth="1"/>
    <col min="7946" max="7946" width="9.7109375" style="2" customWidth="1"/>
    <col min="7947" max="7947" width="26.5703125" style="2" customWidth="1"/>
    <col min="7948" max="7948" width="0" style="2" hidden="1" customWidth="1"/>
    <col min="7949" max="7949" width="11.5703125" style="2" customWidth="1"/>
    <col min="7950" max="7950" width="10.5703125" style="2" customWidth="1"/>
    <col min="7951" max="7951" width="10.28515625" style="2" customWidth="1"/>
    <col min="7952" max="7952" width="10.140625" style="2" customWidth="1"/>
    <col min="7953" max="7953" width="11.5703125" style="2" customWidth="1"/>
    <col min="7954" max="7954" width="9.85546875" style="2" customWidth="1"/>
    <col min="7955" max="7955" width="8.140625" style="2" customWidth="1"/>
    <col min="7956" max="7956" width="11.7109375" style="2" bestFit="1" customWidth="1"/>
    <col min="7957" max="7957" width="7" style="2" customWidth="1"/>
    <col min="7958" max="7958" width="6.5703125" style="2" customWidth="1"/>
    <col min="7959" max="7959" width="6.42578125" style="2" customWidth="1"/>
    <col min="7960" max="8192" width="9.140625" style="2"/>
    <col min="8193" max="8193" width="0" style="2" hidden="1" customWidth="1"/>
    <col min="8194" max="8194" width="32.5703125" style="2" customWidth="1"/>
    <col min="8195" max="8195" width="13.85546875" style="2" customWidth="1"/>
    <col min="8196" max="8196" width="14.140625" style="2" customWidth="1"/>
    <col min="8197" max="8197" width="13.140625" style="2" bestFit="1" customWidth="1"/>
    <col min="8198" max="8198" width="13.42578125" style="2" bestFit="1" customWidth="1"/>
    <col min="8199" max="8199" width="11.85546875" style="2" customWidth="1"/>
    <col min="8200" max="8200" width="8.7109375" style="2" bestFit="1" customWidth="1"/>
    <col min="8201" max="8201" width="7.140625" style="2" customWidth="1"/>
    <col min="8202" max="8202" width="9.7109375" style="2" customWidth="1"/>
    <col min="8203" max="8203" width="26.5703125" style="2" customWidth="1"/>
    <col min="8204" max="8204" width="0" style="2" hidden="1" customWidth="1"/>
    <col min="8205" max="8205" width="11.5703125" style="2" customWidth="1"/>
    <col min="8206" max="8206" width="10.5703125" style="2" customWidth="1"/>
    <col min="8207" max="8207" width="10.28515625" style="2" customWidth="1"/>
    <col min="8208" max="8208" width="10.140625" style="2" customWidth="1"/>
    <col min="8209" max="8209" width="11.5703125" style="2" customWidth="1"/>
    <col min="8210" max="8210" width="9.85546875" style="2" customWidth="1"/>
    <col min="8211" max="8211" width="8.140625" style="2" customWidth="1"/>
    <col min="8212" max="8212" width="11.7109375" style="2" bestFit="1" customWidth="1"/>
    <col min="8213" max="8213" width="7" style="2" customWidth="1"/>
    <col min="8214" max="8214" width="6.5703125" style="2" customWidth="1"/>
    <col min="8215" max="8215" width="6.42578125" style="2" customWidth="1"/>
    <col min="8216" max="8448" width="9.140625" style="2"/>
    <col min="8449" max="8449" width="0" style="2" hidden="1" customWidth="1"/>
    <col min="8450" max="8450" width="32.5703125" style="2" customWidth="1"/>
    <col min="8451" max="8451" width="13.85546875" style="2" customWidth="1"/>
    <col min="8452" max="8452" width="14.140625" style="2" customWidth="1"/>
    <col min="8453" max="8453" width="13.140625" style="2" bestFit="1" customWidth="1"/>
    <col min="8454" max="8454" width="13.42578125" style="2" bestFit="1" customWidth="1"/>
    <col min="8455" max="8455" width="11.85546875" style="2" customWidth="1"/>
    <col min="8456" max="8456" width="8.7109375" style="2" bestFit="1" customWidth="1"/>
    <col min="8457" max="8457" width="7.140625" style="2" customWidth="1"/>
    <col min="8458" max="8458" width="9.7109375" style="2" customWidth="1"/>
    <col min="8459" max="8459" width="26.5703125" style="2" customWidth="1"/>
    <col min="8460" max="8460" width="0" style="2" hidden="1" customWidth="1"/>
    <col min="8461" max="8461" width="11.5703125" style="2" customWidth="1"/>
    <col min="8462" max="8462" width="10.5703125" style="2" customWidth="1"/>
    <col min="8463" max="8463" width="10.28515625" style="2" customWidth="1"/>
    <col min="8464" max="8464" width="10.140625" style="2" customWidth="1"/>
    <col min="8465" max="8465" width="11.5703125" style="2" customWidth="1"/>
    <col min="8466" max="8466" width="9.85546875" style="2" customWidth="1"/>
    <col min="8467" max="8467" width="8.140625" style="2" customWidth="1"/>
    <col min="8468" max="8468" width="11.7109375" style="2" bestFit="1" customWidth="1"/>
    <col min="8469" max="8469" width="7" style="2" customWidth="1"/>
    <col min="8470" max="8470" width="6.5703125" style="2" customWidth="1"/>
    <col min="8471" max="8471" width="6.42578125" style="2" customWidth="1"/>
    <col min="8472" max="8704" width="9.140625" style="2"/>
    <col min="8705" max="8705" width="0" style="2" hidden="1" customWidth="1"/>
    <col min="8706" max="8706" width="32.5703125" style="2" customWidth="1"/>
    <col min="8707" max="8707" width="13.85546875" style="2" customWidth="1"/>
    <col min="8708" max="8708" width="14.140625" style="2" customWidth="1"/>
    <col min="8709" max="8709" width="13.140625" style="2" bestFit="1" customWidth="1"/>
    <col min="8710" max="8710" width="13.42578125" style="2" bestFit="1" customWidth="1"/>
    <col min="8711" max="8711" width="11.85546875" style="2" customWidth="1"/>
    <col min="8712" max="8712" width="8.7109375" style="2" bestFit="1" customWidth="1"/>
    <col min="8713" max="8713" width="7.140625" style="2" customWidth="1"/>
    <col min="8714" max="8714" width="9.7109375" style="2" customWidth="1"/>
    <col min="8715" max="8715" width="26.5703125" style="2" customWidth="1"/>
    <col min="8716" max="8716" width="0" style="2" hidden="1" customWidth="1"/>
    <col min="8717" max="8717" width="11.5703125" style="2" customWidth="1"/>
    <col min="8718" max="8718" width="10.5703125" style="2" customWidth="1"/>
    <col min="8719" max="8719" width="10.28515625" style="2" customWidth="1"/>
    <col min="8720" max="8720" width="10.140625" style="2" customWidth="1"/>
    <col min="8721" max="8721" width="11.5703125" style="2" customWidth="1"/>
    <col min="8722" max="8722" width="9.85546875" style="2" customWidth="1"/>
    <col min="8723" max="8723" width="8.140625" style="2" customWidth="1"/>
    <col min="8724" max="8724" width="11.7109375" style="2" bestFit="1" customWidth="1"/>
    <col min="8725" max="8725" width="7" style="2" customWidth="1"/>
    <col min="8726" max="8726" width="6.5703125" style="2" customWidth="1"/>
    <col min="8727" max="8727" width="6.42578125" style="2" customWidth="1"/>
    <col min="8728" max="8960" width="9.140625" style="2"/>
    <col min="8961" max="8961" width="0" style="2" hidden="1" customWidth="1"/>
    <col min="8962" max="8962" width="32.5703125" style="2" customWidth="1"/>
    <col min="8963" max="8963" width="13.85546875" style="2" customWidth="1"/>
    <col min="8964" max="8964" width="14.140625" style="2" customWidth="1"/>
    <col min="8965" max="8965" width="13.140625" style="2" bestFit="1" customWidth="1"/>
    <col min="8966" max="8966" width="13.42578125" style="2" bestFit="1" customWidth="1"/>
    <col min="8967" max="8967" width="11.85546875" style="2" customWidth="1"/>
    <col min="8968" max="8968" width="8.7109375" style="2" bestFit="1" customWidth="1"/>
    <col min="8969" max="8969" width="7.140625" style="2" customWidth="1"/>
    <col min="8970" max="8970" width="9.7109375" style="2" customWidth="1"/>
    <col min="8971" max="8971" width="26.5703125" style="2" customWidth="1"/>
    <col min="8972" max="8972" width="0" style="2" hidden="1" customWidth="1"/>
    <col min="8973" max="8973" width="11.5703125" style="2" customWidth="1"/>
    <col min="8974" max="8974" width="10.5703125" style="2" customWidth="1"/>
    <col min="8975" max="8975" width="10.28515625" style="2" customWidth="1"/>
    <col min="8976" max="8976" width="10.140625" style="2" customWidth="1"/>
    <col min="8977" max="8977" width="11.5703125" style="2" customWidth="1"/>
    <col min="8978" max="8978" width="9.85546875" style="2" customWidth="1"/>
    <col min="8979" max="8979" width="8.140625" style="2" customWidth="1"/>
    <col min="8980" max="8980" width="11.7109375" style="2" bestFit="1" customWidth="1"/>
    <col min="8981" max="8981" width="7" style="2" customWidth="1"/>
    <col min="8982" max="8982" width="6.5703125" style="2" customWidth="1"/>
    <col min="8983" max="8983" width="6.42578125" style="2" customWidth="1"/>
    <col min="8984" max="9216" width="9.140625" style="2"/>
    <col min="9217" max="9217" width="0" style="2" hidden="1" customWidth="1"/>
    <col min="9218" max="9218" width="32.5703125" style="2" customWidth="1"/>
    <col min="9219" max="9219" width="13.85546875" style="2" customWidth="1"/>
    <col min="9220" max="9220" width="14.140625" style="2" customWidth="1"/>
    <col min="9221" max="9221" width="13.140625" style="2" bestFit="1" customWidth="1"/>
    <col min="9222" max="9222" width="13.42578125" style="2" bestFit="1" customWidth="1"/>
    <col min="9223" max="9223" width="11.85546875" style="2" customWidth="1"/>
    <col min="9224" max="9224" width="8.7109375" style="2" bestFit="1" customWidth="1"/>
    <col min="9225" max="9225" width="7.140625" style="2" customWidth="1"/>
    <col min="9226" max="9226" width="9.7109375" style="2" customWidth="1"/>
    <col min="9227" max="9227" width="26.5703125" style="2" customWidth="1"/>
    <col min="9228" max="9228" width="0" style="2" hidden="1" customWidth="1"/>
    <col min="9229" max="9229" width="11.5703125" style="2" customWidth="1"/>
    <col min="9230" max="9230" width="10.5703125" style="2" customWidth="1"/>
    <col min="9231" max="9231" width="10.28515625" style="2" customWidth="1"/>
    <col min="9232" max="9232" width="10.140625" style="2" customWidth="1"/>
    <col min="9233" max="9233" width="11.5703125" style="2" customWidth="1"/>
    <col min="9234" max="9234" width="9.85546875" style="2" customWidth="1"/>
    <col min="9235" max="9235" width="8.140625" style="2" customWidth="1"/>
    <col min="9236" max="9236" width="11.7109375" style="2" bestFit="1" customWidth="1"/>
    <col min="9237" max="9237" width="7" style="2" customWidth="1"/>
    <col min="9238" max="9238" width="6.5703125" style="2" customWidth="1"/>
    <col min="9239" max="9239" width="6.42578125" style="2" customWidth="1"/>
    <col min="9240" max="9472" width="9.140625" style="2"/>
    <col min="9473" max="9473" width="0" style="2" hidden="1" customWidth="1"/>
    <col min="9474" max="9474" width="32.5703125" style="2" customWidth="1"/>
    <col min="9475" max="9475" width="13.85546875" style="2" customWidth="1"/>
    <col min="9476" max="9476" width="14.140625" style="2" customWidth="1"/>
    <col min="9477" max="9477" width="13.140625" style="2" bestFit="1" customWidth="1"/>
    <col min="9478" max="9478" width="13.42578125" style="2" bestFit="1" customWidth="1"/>
    <col min="9479" max="9479" width="11.85546875" style="2" customWidth="1"/>
    <col min="9480" max="9480" width="8.7109375" style="2" bestFit="1" customWidth="1"/>
    <col min="9481" max="9481" width="7.140625" style="2" customWidth="1"/>
    <col min="9482" max="9482" width="9.7109375" style="2" customWidth="1"/>
    <col min="9483" max="9483" width="26.5703125" style="2" customWidth="1"/>
    <col min="9484" max="9484" width="0" style="2" hidden="1" customWidth="1"/>
    <col min="9485" max="9485" width="11.5703125" style="2" customWidth="1"/>
    <col min="9486" max="9486" width="10.5703125" style="2" customWidth="1"/>
    <col min="9487" max="9487" width="10.28515625" style="2" customWidth="1"/>
    <col min="9488" max="9488" width="10.140625" style="2" customWidth="1"/>
    <col min="9489" max="9489" width="11.5703125" style="2" customWidth="1"/>
    <col min="9490" max="9490" width="9.85546875" style="2" customWidth="1"/>
    <col min="9491" max="9491" width="8.140625" style="2" customWidth="1"/>
    <col min="9492" max="9492" width="11.7109375" style="2" bestFit="1" customWidth="1"/>
    <col min="9493" max="9493" width="7" style="2" customWidth="1"/>
    <col min="9494" max="9494" width="6.5703125" style="2" customWidth="1"/>
    <col min="9495" max="9495" width="6.42578125" style="2" customWidth="1"/>
    <col min="9496" max="9728" width="9.140625" style="2"/>
    <col min="9729" max="9729" width="0" style="2" hidden="1" customWidth="1"/>
    <col min="9730" max="9730" width="32.5703125" style="2" customWidth="1"/>
    <col min="9731" max="9731" width="13.85546875" style="2" customWidth="1"/>
    <col min="9732" max="9732" width="14.140625" style="2" customWidth="1"/>
    <col min="9733" max="9733" width="13.140625" style="2" bestFit="1" customWidth="1"/>
    <col min="9734" max="9734" width="13.42578125" style="2" bestFit="1" customWidth="1"/>
    <col min="9735" max="9735" width="11.85546875" style="2" customWidth="1"/>
    <col min="9736" max="9736" width="8.7109375" style="2" bestFit="1" customWidth="1"/>
    <col min="9737" max="9737" width="7.140625" style="2" customWidth="1"/>
    <col min="9738" max="9738" width="9.7109375" style="2" customWidth="1"/>
    <col min="9739" max="9739" width="26.5703125" style="2" customWidth="1"/>
    <col min="9740" max="9740" width="0" style="2" hidden="1" customWidth="1"/>
    <col min="9741" max="9741" width="11.5703125" style="2" customWidth="1"/>
    <col min="9742" max="9742" width="10.5703125" style="2" customWidth="1"/>
    <col min="9743" max="9743" width="10.28515625" style="2" customWidth="1"/>
    <col min="9744" max="9744" width="10.140625" style="2" customWidth="1"/>
    <col min="9745" max="9745" width="11.5703125" style="2" customWidth="1"/>
    <col min="9746" max="9746" width="9.85546875" style="2" customWidth="1"/>
    <col min="9747" max="9747" width="8.140625" style="2" customWidth="1"/>
    <col min="9748" max="9748" width="11.7109375" style="2" bestFit="1" customWidth="1"/>
    <col min="9749" max="9749" width="7" style="2" customWidth="1"/>
    <col min="9750" max="9750" width="6.5703125" style="2" customWidth="1"/>
    <col min="9751" max="9751" width="6.42578125" style="2" customWidth="1"/>
    <col min="9752" max="9984" width="9.140625" style="2"/>
    <col min="9985" max="9985" width="0" style="2" hidden="1" customWidth="1"/>
    <col min="9986" max="9986" width="32.5703125" style="2" customWidth="1"/>
    <col min="9987" max="9987" width="13.85546875" style="2" customWidth="1"/>
    <col min="9988" max="9988" width="14.140625" style="2" customWidth="1"/>
    <col min="9989" max="9989" width="13.140625" style="2" bestFit="1" customWidth="1"/>
    <col min="9990" max="9990" width="13.42578125" style="2" bestFit="1" customWidth="1"/>
    <col min="9991" max="9991" width="11.85546875" style="2" customWidth="1"/>
    <col min="9992" max="9992" width="8.7109375" style="2" bestFit="1" customWidth="1"/>
    <col min="9993" max="9993" width="7.140625" style="2" customWidth="1"/>
    <col min="9994" max="9994" width="9.7109375" style="2" customWidth="1"/>
    <col min="9995" max="9995" width="26.5703125" style="2" customWidth="1"/>
    <col min="9996" max="9996" width="0" style="2" hidden="1" customWidth="1"/>
    <col min="9997" max="9997" width="11.5703125" style="2" customWidth="1"/>
    <col min="9998" max="9998" width="10.5703125" style="2" customWidth="1"/>
    <col min="9999" max="9999" width="10.28515625" style="2" customWidth="1"/>
    <col min="10000" max="10000" width="10.140625" style="2" customWidth="1"/>
    <col min="10001" max="10001" width="11.5703125" style="2" customWidth="1"/>
    <col min="10002" max="10002" width="9.85546875" style="2" customWidth="1"/>
    <col min="10003" max="10003" width="8.140625" style="2" customWidth="1"/>
    <col min="10004" max="10004" width="11.7109375" style="2" bestFit="1" customWidth="1"/>
    <col min="10005" max="10005" width="7" style="2" customWidth="1"/>
    <col min="10006" max="10006" width="6.5703125" style="2" customWidth="1"/>
    <col min="10007" max="10007" width="6.42578125" style="2" customWidth="1"/>
    <col min="10008" max="10240" width="9.140625" style="2"/>
    <col min="10241" max="10241" width="0" style="2" hidden="1" customWidth="1"/>
    <col min="10242" max="10242" width="32.5703125" style="2" customWidth="1"/>
    <col min="10243" max="10243" width="13.85546875" style="2" customWidth="1"/>
    <col min="10244" max="10244" width="14.140625" style="2" customWidth="1"/>
    <col min="10245" max="10245" width="13.140625" style="2" bestFit="1" customWidth="1"/>
    <col min="10246" max="10246" width="13.42578125" style="2" bestFit="1" customWidth="1"/>
    <col min="10247" max="10247" width="11.85546875" style="2" customWidth="1"/>
    <col min="10248" max="10248" width="8.7109375" style="2" bestFit="1" customWidth="1"/>
    <col min="10249" max="10249" width="7.140625" style="2" customWidth="1"/>
    <col min="10250" max="10250" width="9.7109375" style="2" customWidth="1"/>
    <col min="10251" max="10251" width="26.5703125" style="2" customWidth="1"/>
    <col min="10252" max="10252" width="0" style="2" hidden="1" customWidth="1"/>
    <col min="10253" max="10253" width="11.5703125" style="2" customWidth="1"/>
    <col min="10254" max="10254" width="10.5703125" style="2" customWidth="1"/>
    <col min="10255" max="10255" width="10.28515625" style="2" customWidth="1"/>
    <col min="10256" max="10256" width="10.140625" style="2" customWidth="1"/>
    <col min="10257" max="10257" width="11.5703125" style="2" customWidth="1"/>
    <col min="10258" max="10258" width="9.85546875" style="2" customWidth="1"/>
    <col min="10259" max="10259" width="8.140625" style="2" customWidth="1"/>
    <col min="10260" max="10260" width="11.7109375" style="2" bestFit="1" customWidth="1"/>
    <col min="10261" max="10261" width="7" style="2" customWidth="1"/>
    <col min="10262" max="10262" width="6.5703125" style="2" customWidth="1"/>
    <col min="10263" max="10263" width="6.42578125" style="2" customWidth="1"/>
    <col min="10264" max="10496" width="9.140625" style="2"/>
    <col min="10497" max="10497" width="0" style="2" hidden="1" customWidth="1"/>
    <col min="10498" max="10498" width="32.5703125" style="2" customWidth="1"/>
    <col min="10499" max="10499" width="13.85546875" style="2" customWidth="1"/>
    <col min="10500" max="10500" width="14.140625" style="2" customWidth="1"/>
    <col min="10501" max="10501" width="13.140625" style="2" bestFit="1" customWidth="1"/>
    <col min="10502" max="10502" width="13.42578125" style="2" bestFit="1" customWidth="1"/>
    <col min="10503" max="10503" width="11.85546875" style="2" customWidth="1"/>
    <col min="10504" max="10504" width="8.7109375" style="2" bestFit="1" customWidth="1"/>
    <col min="10505" max="10505" width="7.140625" style="2" customWidth="1"/>
    <col min="10506" max="10506" width="9.7109375" style="2" customWidth="1"/>
    <col min="10507" max="10507" width="26.5703125" style="2" customWidth="1"/>
    <col min="10508" max="10508" width="0" style="2" hidden="1" customWidth="1"/>
    <col min="10509" max="10509" width="11.5703125" style="2" customWidth="1"/>
    <col min="10510" max="10510" width="10.5703125" style="2" customWidth="1"/>
    <col min="10511" max="10511" width="10.28515625" style="2" customWidth="1"/>
    <col min="10512" max="10512" width="10.140625" style="2" customWidth="1"/>
    <col min="10513" max="10513" width="11.5703125" style="2" customWidth="1"/>
    <col min="10514" max="10514" width="9.85546875" style="2" customWidth="1"/>
    <col min="10515" max="10515" width="8.140625" style="2" customWidth="1"/>
    <col min="10516" max="10516" width="11.7109375" style="2" bestFit="1" customWidth="1"/>
    <col min="10517" max="10517" width="7" style="2" customWidth="1"/>
    <col min="10518" max="10518" width="6.5703125" style="2" customWidth="1"/>
    <col min="10519" max="10519" width="6.42578125" style="2" customWidth="1"/>
    <col min="10520" max="10752" width="9.140625" style="2"/>
    <col min="10753" max="10753" width="0" style="2" hidden="1" customWidth="1"/>
    <col min="10754" max="10754" width="32.5703125" style="2" customWidth="1"/>
    <col min="10755" max="10755" width="13.85546875" style="2" customWidth="1"/>
    <col min="10756" max="10756" width="14.140625" style="2" customWidth="1"/>
    <col min="10757" max="10757" width="13.140625" style="2" bestFit="1" customWidth="1"/>
    <col min="10758" max="10758" width="13.42578125" style="2" bestFit="1" customWidth="1"/>
    <col min="10759" max="10759" width="11.85546875" style="2" customWidth="1"/>
    <col min="10760" max="10760" width="8.7109375" style="2" bestFit="1" customWidth="1"/>
    <col min="10761" max="10761" width="7.140625" style="2" customWidth="1"/>
    <col min="10762" max="10762" width="9.7109375" style="2" customWidth="1"/>
    <col min="10763" max="10763" width="26.5703125" style="2" customWidth="1"/>
    <col min="10764" max="10764" width="0" style="2" hidden="1" customWidth="1"/>
    <col min="10765" max="10765" width="11.5703125" style="2" customWidth="1"/>
    <col min="10766" max="10766" width="10.5703125" style="2" customWidth="1"/>
    <col min="10767" max="10767" width="10.28515625" style="2" customWidth="1"/>
    <col min="10768" max="10768" width="10.140625" style="2" customWidth="1"/>
    <col min="10769" max="10769" width="11.5703125" style="2" customWidth="1"/>
    <col min="10770" max="10770" width="9.85546875" style="2" customWidth="1"/>
    <col min="10771" max="10771" width="8.140625" style="2" customWidth="1"/>
    <col min="10772" max="10772" width="11.7109375" style="2" bestFit="1" customWidth="1"/>
    <col min="10773" max="10773" width="7" style="2" customWidth="1"/>
    <col min="10774" max="10774" width="6.5703125" style="2" customWidth="1"/>
    <col min="10775" max="10775" width="6.42578125" style="2" customWidth="1"/>
    <col min="10776" max="11008" width="9.140625" style="2"/>
    <col min="11009" max="11009" width="0" style="2" hidden="1" customWidth="1"/>
    <col min="11010" max="11010" width="32.5703125" style="2" customWidth="1"/>
    <col min="11011" max="11011" width="13.85546875" style="2" customWidth="1"/>
    <col min="11012" max="11012" width="14.140625" style="2" customWidth="1"/>
    <col min="11013" max="11013" width="13.140625" style="2" bestFit="1" customWidth="1"/>
    <col min="11014" max="11014" width="13.42578125" style="2" bestFit="1" customWidth="1"/>
    <col min="11015" max="11015" width="11.85546875" style="2" customWidth="1"/>
    <col min="11016" max="11016" width="8.7109375" style="2" bestFit="1" customWidth="1"/>
    <col min="11017" max="11017" width="7.140625" style="2" customWidth="1"/>
    <col min="11018" max="11018" width="9.7109375" style="2" customWidth="1"/>
    <col min="11019" max="11019" width="26.5703125" style="2" customWidth="1"/>
    <col min="11020" max="11020" width="0" style="2" hidden="1" customWidth="1"/>
    <col min="11021" max="11021" width="11.5703125" style="2" customWidth="1"/>
    <col min="11022" max="11022" width="10.5703125" style="2" customWidth="1"/>
    <col min="11023" max="11023" width="10.28515625" style="2" customWidth="1"/>
    <col min="11024" max="11024" width="10.140625" style="2" customWidth="1"/>
    <col min="11025" max="11025" width="11.5703125" style="2" customWidth="1"/>
    <col min="11026" max="11026" width="9.85546875" style="2" customWidth="1"/>
    <col min="11027" max="11027" width="8.140625" style="2" customWidth="1"/>
    <col min="11028" max="11028" width="11.7109375" style="2" bestFit="1" customWidth="1"/>
    <col min="11029" max="11029" width="7" style="2" customWidth="1"/>
    <col min="11030" max="11030" width="6.5703125" style="2" customWidth="1"/>
    <col min="11031" max="11031" width="6.42578125" style="2" customWidth="1"/>
    <col min="11032" max="11264" width="9.140625" style="2"/>
    <col min="11265" max="11265" width="0" style="2" hidden="1" customWidth="1"/>
    <col min="11266" max="11266" width="32.5703125" style="2" customWidth="1"/>
    <col min="11267" max="11267" width="13.85546875" style="2" customWidth="1"/>
    <col min="11268" max="11268" width="14.140625" style="2" customWidth="1"/>
    <col min="11269" max="11269" width="13.140625" style="2" bestFit="1" customWidth="1"/>
    <col min="11270" max="11270" width="13.42578125" style="2" bestFit="1" customWidth="1"/>
    <col min="11271" max="11271" width="11.85546875" style="2" customWidth="1"/>
    <col min="11272" max="11272" width="8.7109375" style="2" bestFit="1" customWidth="1"/>
    <col min="11273" max="11273" width="7.140625" style="2" customWidth="1"/>
    <col min="11274" max="11274" width="9.7109375" style="2" customWidth="1"/>
    <col min="11275" max="11275" width="26.5703125" style="2" customWidth="1"/>
    <col min="11276" max="11276" width="0" style="2" hidden="1" customWidth="1"/>
    <col min="11277" max="11277" width="11.5703125" style="2" customWidth="1"/>
    <col min="11278" max="11278" width="10.5703125" style="2" customWidth="1"/>
    <col min="11279" max="11279" width="10.28515625" style="2" customWidth="1"/>
    <col min="11280" max="11280" width="10.140625" style="2" customWidth="1"/>
    <col min="11281" max="11281" width="11.5703125" style="2" customWidth="1"/>
    <col min="11282" max="11282" width="9.85546875" style="2" customWidth="1"/>
    <col min="11283" max="11283" width="8.140625" style="2" customWidth="1"/>
    <col min="11284" max="11284" width="11.7109375" style="2" bestFit="1" customWidth="1"/>
    <col min="11285" max="11285" width="7" style="2" customWidth="1"/>
    <col min="11286" max="11286" width="6.5703125" style="2" customWidth="1"/>
    <col min="11287" max="11287" width="6.42578125" style="2" customWidth="1"/>
    <col min="11288" max="11520" width="9.140625" style="2"/>
    <col min="11521" max="11521" width="0" style="2" hidden="1" customWidth="1"/>
    <col min="11522" max="11522" width="32.5703125" style="2" customWidth="1"/>
    <col min="11523" max="11523" width="13.85546875" style="2" customWidth="1"/>
    <col min="11524" max="11524" width="14.140625" style="2" customWidth="1"/>
    <col min="11525" max="11525" width="13.140625" style="2" bestFit="1" customWidth="1"/>
    <col min="11526" max="11526" width="13.42578125" style="2" bestFit="1" customWidth="1"/>
    <col min="11527" max="11527" width="11.85546875" style="2" customWidth="1"/>
    <col min="11528" max="11528" width="8.7109375" style="2" bestFit="1" customWidth="1"/>
    <col min="11529" max="11529" width="7.140625" style="2" customWidth="1"/>
    <col min="11530" max="11530" width="9.7109375" style="2" customWidth="1"/>
    <col min="11531" max="11531" width="26.5703125" style="2" customWidth="1"/>
    <col min="11532" max="11532" width="0" style="2" hidden="1" customWidth="1"/>
    <col min="11533" max="11533" width="11.5703125" style="2" customWidth="1"/>
    <col min="11534" max="11534" width="10.5703125" style="2" customWidth="1"/>
    <col min="11535" max="11535" width="10.28515625" style="2" customWidth="1"/>
    <col min="11536" max="11536" width="10.140625" style="2" customWidth="1"/>
    <col min="11537" max="11537" width="11.5703125" style="2" customWidth="1"/>
    <col min="11538" max="11538" width="9.85546875" style="2" customWidth="1"/>
    <col min="11539" max="11539" width="8.140625" style="2" customWidth="1"/>
    <col min="11540" max="11540" width="11.7109375" style="2" bestFit="1" customWidth="1"/>
    <col min="11541" max="11541" width="7" style="2" customWidth="1"/>
    <col min="11542" max="11542" width="6.5703125" style="2" customWidth="1"/>
    <col min="11543" max="11543" width="6.42578125" style="2" customWidth="1"/>
    <col min="11544" max="11776" width="9.140625" style="2"/>
    <col min="11777" max="11777" width="0" style="2" hidden="1" customWidth="1"/>
    <col min="11778" max="11778" width="32.5703125" style="2" customWidth="1"/>
    <col min="11779" max="11779" width="13.85546875" style="2" customWidth="1"/>
    <col min="11780" max="11780" width="14.140625" style="2" customWidth="1"/>
    <col min="11781" max="11781" width="13.140625" style="2" bestFit="1" customWidth="1"/>
    <col min="11782" max="11782" width="13.42578125" style="2" bestFit="1" customWidth="1"/>
    <col min="11783" max="11783" width="11.85546875" style="2" customWidth="1"/>
    <col min="11784" max="11784" width="8.7109375" style="2" bestFit="1" customWidth="1"/>
    <col min="11785" max="11785" width="7.140625" style="2" customWidth="1"/>
    <col min="11786" max="11786" width="9.7109375" style="2" customWidth="1"/>
    <col min="11787" max="11787" width="26.5703125" style="2" customWidth="1"/>
    <col min="11788" max="11788" width="0" style="2" hidden="1" customWidth="1"/>
    <col min="11789" max="11789" width="11.5703125" style="2" customWidth="1"/>
    <col min="11790" max="11790" width="10.5703125" style="2" customWidth="1"/>
    <col min="11791" max="11791" width="10.28515625" style="2" customWidth="1"/>
    <col min="11792" max="11792" width="10.140625" style="2" customWidth="1"/>
    <col min="11793" max="11793" width="11.5703125" style="2" customWidth="1"/>
    <col min="11794" max="11794" width="9.85546875" style="2" customWidth="1"/>
    <col min="11795" max="11795" width="8.140625" style="2" customWidth="1"/>
    <col min="11796" max="11796" width="11.7109375" style="2" bestFit="1" customWidth="1"/>
    <col min="11797" max="11797" width="7" style="2" customWidth="1"/>
    <col min="11798" max="11798" width="6.5703125" style="2" customWidth="1"/>
    <col min="11799" max="11799" width="6.42578125" style="2" customWidth="1"/>
    <col min="11800" max="12032" width="9.140625" style="2"/>
    <col min="12033" max="12033" width="0" style="2" hidden="1" customWidth="1"/>
    <col min="12034" max="12034" width="32.5703125" style="2" customWidth="1"/>
    <col min="12035" max="12035" width="13.85546875" style="2" customWidth="1"/>
    <col min="12036" max="12036" width="14.140625" style="2" customWidth="1"/>
    <col min="12037" max="12037" width="13.140625" style="2" bestFit="1" customWidth="1"/>
    <col min="12038" max="12038" width="13.42578125" style="2" bestFit="1" customWidth="1"/>
    <col min="12039" max="12039" width="11.85546875" style="2" customWidth="1"/>
    <col min="12040" max="12040" width="8.7109375" style="2" bestFit="1" customWidth="1"/>
    <col min="12041" max="12041" width="7.140625" style="2" customWidth="1"/>
    <col min="12042" max="12042" width="9.7109375" style="2" customWidth="1"/>
    <col min="12043" max="12043" width="26.5703125" style="2" customWidth="1"/>
    <col min="12044" max="12044" width="0" style="2" hidden="1" customWidth="1"/>
    <col min="12045" max="12045" width="11.5703125" style="2" customWidth="1"/>
    <col min="12046" max="12046" width="10.5703125" style="2" customWidth="1"/>
    <col min="12047" max="12047" width="10.28515625" style="2" customWidth="1"/>
    <col min="12048" max="12048" width="10.140625" style="2" customWidth="1"/>
    <col min="12049" max="12049" width="11.5703125" style="2" customWidth="1"/>
    <col min="12050" max="12050" width="9.85546875" style="2" customWidth="1"/>
    <col min="12051" max="12051" width="8.140625" style="2" customWidth="1"/>
    <col min="12052" max="12052" width="11.7109375" style="2" bestFit="1" customWidth="1"/>
    <col min="12053" max="12053" width="7" style="2" customWidth="1"/>
    <col min="12054" max="12054" width="6.5703125" style="2" customWidth="1"/>
    <col min="12055" max="12055" width="6.42578125" style="2" customWidth="1"/>
    <col min="12056" max="12288" width="9.140625" style="2"/>
    <col min="12289" max="12289" width="0" style="2" hidden="1" customWidth="1"/>
    <col min="12290" max="12290" width="32.5703125" style="2" customWidth="1"/>
    <col min="12291" max="12291" width="13.85546875" style="2" customWidth="1"/>
    <col min="12292" max="12292" width="14.140625" style="2" customWidth="1"/>
    <col min="12293" max="12293" width="13.140625" style="2" bestFit="1" customWidth="1"/>
    <col min="12294" max="12294" width="13.42578125" style="2" bestFit="1" customWidth="1"/>
    <col min="12295" max="12295" width="11.85546875" style="2" customWidth="1"/>
    <col min="12296" max="12296" width="8.7109375" style="2" bestFit="1" customWidth="1"/>
    <col min="12297" max="12297" width="7.140625" style="2" customWidth="1"/>
    <col min="12298" max="12298" width="9.7109375" style="2" customWidth="1"/>
    <col min="12299" max="12299" width="26.5703125" style="2" customWidth="1"/>
    <col min="12300" max="12300" width="0" style="2" hidden="1" customWidth="1"/>
    <col min="12301" max="12301" width="11.5703125" style="2" customWidth="1"/>
    <col min="12302" max="12302" width="10.5703125" style="2" customWidth="1"/>
    <col min="12303" max="12303" width="10.28515625" style="2" customWidth="1"/>
    <col min="12304" max="12304" width="10.140625" style="2" customWidth="1"/>
    <col min="12305" max="12305" width="11.5703125" style="2" customWidth="1"/>
    <col min="12306" max="12306" width="9.85546875" style="2" customWidth="1"/>
    <col min="12307" max="12307" width="8.140625" style="2" customWidth="1"/>
    <col min="12308" max="12308" width="11.7109375" style="2" bestFit="1" customWidth="1"/>
    <col min="12309" max="12309" width="7" style="2" customWidth="1"/>
    <col min="12310" max="12310" width="6.5703125" style="2" customWidth="1"/>
    <col min="12311" max="12311" width="6.42578125" style="2" customWidth="1"/>
    <col min="12312" max="12544" width="9.140625" style="2"/>
    <col min="12545" max="12545" width="0" style="2" hidden="1" customWidth="1"/>
    <col min="12546" max="12546" width="32.5703125" style="2" customWidth="1"/>
    <col min="12547" max="12547" width="13.85546875" style="2" customWidth="1"/>
    <col min="12548" max="12548" width="14.140625" style="2" customWidth="1"/>
    <col min="12549" max="12549" width="13.140625" style="2" bestFit="1" customWidth="1"/>
    <col min="12550" max="12550" width="13.42578125" style="2" bestFit="1" customWidth="1"/>
    <col min="12551" max="12551" width="11.85546875" style="2" customWidth="1"/>
    <col min="12552" max="12552" width="8.7109375" style="2" bestFit="1" customWidth="1"/>
    <col min="12553" max="12553" width="7.140625" style="2" customWidth="1"/>
    <col min="12554" max="12554" width="9.7109375" style="2" customWidth="1"/>
    <col min="12555" max="12555" width="26.5703125" style="2" customWidth="1"/>
    <col min="12556" max="12556" width="0" style="2" hidden="1" customWidth="1"/>
    <col min="12557" max="12557" width="11.5703125" style="2" customWidth="1"/>
    <col min="12558" max="12558" width="10.5703125" style="2" customWidth="1"/>
    <col min="12559" max="12559" width="10.28515625" style="2" customWidth="1"/>
    <col min="12560" max="12560" width="10.140625" style="2" customWidth="1"/>
    <col min="12561" max="12561" width="11.5703125" style="2" customWidth="1"/>
    <col min="12562" max="12562" width="9.85546875" style="2" customWidth="1"/>
    <col min="12563" max="12563" width="8.140625" style="2" customWidth="1"/>
    <col min="12564" max="12564" width="11.7109375" style="2" bestFit="1" customWidth="1"/>
    <col min="12565" max="12565" width="7" style="2" customWidth="1"/>
    <col min="12566" max="12566" width="6.5703125" style="2" customWidth="1"/>
    <col min="12567" max="12567" width="6.42578125" style="2" customWidth="1"/>
    <col min="12568" max="12800" width="9.140625" style="2"/>
    <col min="12801" max="12801" width="0" style="2" hidden="1" customWidth="1"/>
    <col min="12802" max="12802" width="32.5703125" style="2" customWidth="1"/>
    <col min="12803" max="12803" width="13.85546875" style="2" customWidth="1"/>
    <col min="12804" max="12804" width="14.140625" style="2" customWidth="1"/>
    <col min="12805" max="12805" width="13.140625" style="2" bestFit="1" customWidth="1"/>
    <col min="12806" max="12806" width="13.42578125" style="2" bestFit="1" customWidth="1"/>
    <col min="12807" max="12807" width="11.85546875" style="2" customWidth="1"/>
    <col min="12808" max="12808" width="8.7109375" style="2" bestFit="1" customWidth="1"/>
    <col min="12809" max="12809" width="7.140625" style="2" customWidth="1"/>
    <col min="12810" max="12810" width="9.7109375" style="2" customWidth="1"/>
    <col min="12811" max="12811" width="26.5703125" style="2" customWidth="1"/>
    <col min="12812" max="12812" width="0" style="2" hidden="1" customWidth="1"/>
    <col min="12813" max="12813" width="11.5703125" style="2" customWidth="1"/>
    <col min="12814" max="12814" width="10.5703125" style="2" customWidth="1"/>
    <col min="12815" max="12815" width="10.28515625" style="2" customWidth="1"/>
    <col min="12816" max="12816" width="10.140625" style="2" customWidth="1"/>
    <col min="12817" max="12817" width="11.5703125" style="2" customWidth="1"/>
    <col min="12818" max="12818" width="9.85546875" style="2" customWidth="1"/>
    <col min="12819" max="12819" width="8.140625" style="2" customWidth="1"/>
    <col min="12820" max="12820" width="11.7109375" style="2" bestFit="1" customWidth="1"/>
    <col min="12821" max="12821" width="7" style="2" customWidth="1"/>
    <col min="12822" max="12822" width="6.5703125" style="2" customWidth="1"/>
    <col min="12823" max="12823" width="6.42578125" style="2" customWidth="1"/>
    <col min="12824" max="13056" width="9.140625" style="2"/>
    <col min="13057" max="13057" width="0" style="2" hidden="1" customWidth="1"/>
    <col min="13058" max="13058" width="32.5703125" style="2" customWidth="1"/>
    <col min="13059" max="13059" width="13.85546875" style="2" customWidth="1"/>
    <col min="13060" max="13060" width="14.140625" style="2" customWidth="1"/>
    <col min="13061" max="13061" width="13.140625" style="2" bestFit="1" customWidth="1"/>
    <col min="13062" max="13062" width="13.42578125" style="2" bestFit="1" customWidth="1"/>
    <col min="13063" max="13063" width="11.85546875" style="2" customWidth="1"/>
    <col min="13064" max="13064" width="8.7109375" style="2" bestFit="1" customWidth="1"/>
    <col min="13065" max="13065" width="7.140625" style="2" customWidth="1"/>
    <col min="13066" max="13066" width="9.7109375" style="2" customWidth="1"/>
    <col min="13067" max="13067" width="26.5703125" style="2" customWidth="1"/>
    <col min="13068" max="13068" width="0" style="2" hidden="1" customWidth="1"/>
    <col min="13069" max="13069" width="11.5703125" style="2" customWidth="1"/>
    <col min="13070" max="13070" width="10.5703125" style="2" customWidth="1"/>
    <col min="13071" max="13071" width="10.28515625" style="2" customWidth="1"/>
    <col min="13072" max="13072" width="10.140625" style="2" customWidth="1"/>
    <col min="13073" max="13073" width="11.5703125" style="2" customWidth="1"/>
    <col min="13074" max="13074" width="9.85546875" style="2" customWidth="1"/>
    <col min="13075" max="13075" width="8.140625" style="2" customWidth="1"/>
    <col min="13076" max="13076" width="11.7109375" style="2" bestFit="1" customWidth="1"/>
    <col min="13077" max="13077" width="7" style="2" customWidth="1"/>
    <col min="13078" max="13078" width="6.5703125" style="2" customWidth="1"/>
    <col min="13079" max="13079" width="6.42578125" style="2" customWidth="1"/>
    <col min="13080" max="13312" width="9.140625" style="2"/>
    <col min="13313" max="13313" width="0" style="2" hidden="1" customWidth="1"/>
    <col min="13314" max="13314" width="32.5703125" style="2" customWidth="1"/>
    <col min="13315" max="13315" width="13.85546875" style="2" customWidth="1"/>
    <col min="13316" max="13316" width="14.140625" style="2" customWidth="1"/>
    <col min="13317" max="13317" width="13.140625" style="2" bestFit="1" customWidth="1"/>
    <col min="13318" max="13318" width="13.42578125" style="2" bestFit="1" customWidth="1"/>
    <col min="13319" max="13319" width="11.85546875" style="2" customWidth="1"/>
    <col min="13320" max="13320" width="8.7109375" style="2" bestFit="1" customWidth="1"/>
    <col min="13321" max="13321" width="7.140625" style="2" customWidth="1"/>
    <col min="13322" max="13322" width="9.7109375" style="2" customWidth="1"/>
    <col min="13323" max="13323" width="26.5703125" style="2" customWidth="1"/>
    <col min="13324" max="13324" width="0" style="2" hidden="1" customWidth="1"/>
    <col min="13325" max="13325" width="11.5703125" style="2" customWidth="1"/>
    <col min="13326" max="13326" width="10.5703125" style="2" customWidth="1"/>
    <col min="13327" max="13327" width="10.28515625" style="2" customWidth="1"/>
    <col min="13328" max="13328" width="10.140625" style="2" customWidth="1"/>
    <col min="13329" max="13329" width="11.5703125" style="2" customWidth="1"/>
    <col min="13330" max="13330" width="9.85546875" style="2" customWidth="1"/>
    <col min="13331" max="13331" width="8.140625" style="2" customWidth="1"/>
    <col min="13332" max="13332" width="11.7109375" style="2" bestFit="1" customWidth="1"/>
    <col min="13333" max="13333" width="7" style="2" customWidth="1"/>
    <col min="13334" max="13334" width="6.5703125" style="2" customWidth="1"/>
    <col min="13335" max="13335" width="6.42578125" style="2" customWidth="1"/>
    <col min="13336" max="13568" width="9.140625" style="2"/>
    <col min="13569" max="13569" width="0" style="2" hidden="1" customWidth="1"/>
    <col min="13570" max="13570" width="32.5703125" style="2" customWidth="1"/>
    <col min="13571" max="13571" width="13.85546875" style="2" customWidth="1"/>
    <col min="13572" max="13572" width="14.140625" style="2" customWidth="1"/>
    <col min="13573" max="13573" width="13.140625" style="2" bestFit="1" customWidth="1"/>
    <col min="13574" max="13574" width="13.42578125" style="2" bestFit="1" customWidth="1"/>
    <col min="13575" max="13575" width="11.85546875" style="2" customWidth="1"/>
    <col min="13576" max="13576" width="8.7109375" style="2" bestFit="1" customWidth="1"/>
    <col min="13577" max="13577" width="7.140625" style="2" customWidth="1"/>
    <col min="13578" max="13578" width="9.7109375" style="2" customWidth="1"/>
    <col min="13579" max="13579" width="26.5703125" style="2" customWidth="1"/>
    <col min="13580" max="13580" width="0" style="2" hidden="1" customWidth="1"/>
    <col min="13581" max="13581" width="11.5703125" style="2" customWidth="1"/>
    <col min="13582" max="13582" width="10.5703125" style="2" customWidth="1"/>
    <col min="13583" max="13583" width="10.28515625" style="2" customWidth="1"/>
    <col min="13584" max="13584" width="10.140625" style="2" customWidth="1"/>
    <col min="13585" max="13585" width="11.5703125" style="2" customWidth="1"/>
    <col min="13586" max="13586" width="9.85546875" style="2" customWidth="1"/>
    <col min="13587" max="13587" width="8.140625" style="2" customWidth="1"/>
    <col min="13588" max="13588" width="11.7109375" style="2" bestFit="1" customWidth="1"/>
    <col min="13589" max="13589" width="7" style="2" customWidth="1"/>
    <col min="13590" max="13590" width="6.5703125" style="2" customWidth="1"/>
    <col min="13591" max="13591" width="6.42578125" style="2" customWidth="1"/>
    <col min="13592" max="13824" width="9.140625" style="2"/>
    <col min="13825" max="13825" width="0" style="2" hidden="1" customWidth="1"/>
    <col min="13826" max="13826" width="32.5703125" style="2" customWidth="1"/>
    <col min="13827" max="13827" width="13.85546875" style="2" customWidth="1"/>
    <col min="13828" max="13828" width="14.140625" style="2" customWidth="1"/>
    <col min="13829" max="13829" width="13.140625" style="2" bestFit="1" customWidth="1"/>
    <col min="13830" max="13830" width="13.42578125" style="2" bestFit="1" customWidth="1"/>
    <col min="13831" max="13831" width="11.85546875" style="2" customWidth="1"/>
    <col min="13832" max="13832" width="8.7109375" style="2" bestFit="1" customWidth="1"/>
    <col min="13833" max="13833" width="7.140625" style="2" customWidth="1"/>
    <col min="13834" max="13834" width="9.7109375" style="2" customWidth="1"/>
    <col min="13835" max="13835" width="26.5703125" style="2" customWidth="1"/>
    <col min="13836" max="13836" width="0" style="2" hidden="1" customWidth="1"/>
    <col min="13837" max="13837" width="11.5703125" style="2" customWidth="1"/>
    <col min="13838" max="13838" width="10.5703125" style="2" customWidth="1"/>
    <col min="13839" max="13839" width="10.28515625" style="2" customWidth="1"/>
    <col min="13840" max="13840" width="10.140625" style="2" customWidth="1"/>
    <col min="13841" max="13841" width="11.5703125" style="2" customWidth="1"/>
    <col min="13842" max="13842" width="9.85546875" style="2" customWidth="1"/>
    <col min="13843" max="13843" width="8.140625" style="2" customWidth="1"/>
    <col min="13844" max="13844" width="11.7109375" style="2" bestFit="1" customWidth="1"/>
    <col min="13845" max="13845" width="7" style="2" customWidth="1"/>
    <col min="13846" max="13846" width="6.5703125" style="2" customWidth="1"/>
    <col min="13847" max="13847" width="6.42578125" style="2" customWidth="1"/>
    <col min="13848" max="14080" width="9.140625" style="2"/>
    <col min="14081" max="14081" width="0" style="2" hidden="1" customWidth="1"/>
    <col min="14082" max="14082" width="32.5703125" style="2" customWidth="1"/>
    <col min="14083" max="14083" width="13.85546875" style="2" customWidth="1"/>
    <col min="14084" max="14084" width="14.140625" style="2" customWidth="1"/>
    <col min="14085" max="14085" width="13.140625" style="2" bestFit="1" customWidth="1"/>
    <col min="14086" max="14086" width="13.42578125" style="2" bestFit="1" customWidth="1"/>
    <col min="14087" max="14087" width="11.85546875" style="2" customWidth="1"/>
    <col min="14088" max="14088" width="8.7109375" style="2" bestFit="1" customWidth="1"/>
    <col min="14089" max="14089" width="7.140625" style="2" customWidth="1"/>
    <col min="14090" max="14090" width="9.7109375" style="2" customWidth="1"/>
    <col min="14091" max="14091" width="26.5703125" style="2" customWidth="1"/>
    <col min="14092" max="14092" width="0" style="2" hidden="1" customWidth="1"/>
    <col min="14093" max="14093" width="11.5703125" style="2" customWidth="1"/>
    <col min="14094" max="14094" width="10.5703125" style="2" customWidth="1"/>
    <col min="14095" max="14095" width="10.28515625" style="2" customWidth="1"/>
    <col min="14096" max="14096" width="10.140625" style="2" customWidth="1"/>
    <col min="14097" max="14097" width="11.5703125" style="2" customWidth="1"/>
    <col min="14098" max="14098" width="9.85546875" style="2" customWidth="1"/>
    <col min="14099" max="14099" width="8.140625" style="2" customWidth="1"/>
    <col min="14100" max="14100" width="11.7109375" style="2" bestFit="1" customWidth="1"/>
    <col min="14101" max="14101" width="7" style="2" customWidth="1"/>
    <col min="14102" max="14102" width="6.5703125" style="2" customWidth="1"/>
    <col min="14103" max="14103" width="6.42578125" style="2" customWidth="1"/>
    <col min="14104" max="14336" width="9.140625" style="2"/>
    <col min="14337" max="14337" width="0" style="2" hidden="1" customWidth="1"/>
    <col min="14338" max="14338" width="32.5703125" style="2" customWidth="1"/>
    <col min="14339" max="14339" width="13.85546875" style="2" customWidth="1"/>
    <col min="14340" max="14340" width="14.140625" style="2" customWidth="1"/>
    <col min="14341" max="14341" width="13.140625" style="2" bestFit="1" customWidth="1"/>
    <col min="14342" max="14342" width="13.42578125" style="2" bestFit="1" customWidth="1"/>
    <col min="14343" max="14343" width="11.85546875" style="2" customWidth="1"/>
    <col min="14344" max="14344" width="8.7109375" style="2" bestFit="1" customWidth="1"/>
    <col min="14345" max="14345" width="7.140625" style="2" customWidth="1"/>
    <col min="14346" max="14346" width="9.7109375" style="2" customWidth="1"/>
    <col min="14347" max="14347" width="26.5703125" style="2" customWidth="1"/>
    <col min="14348" max="14348" width="0" style="2" hidden="1" customWidth="1"/>
    <col min="14349" max="14349" width="11.5703125" style="2" customWidth="1"/>
    <col min="14350" max="14350" width="10.5703125" style="2" customWidth="1"/>
    <col min="14351" max="14351" width="10.28515625" style="2" customWidth="1"/>
    <col min="14352" max="14352" width="10.140625" style="2" customWidth="1"/>
    <col min="14353" max="14353" width="11.5703125" style="2" customWidth="1"/>
    <col min="14354" max="14354" width="9.85546875" style="2" customWidth="1"/>
    <col min="14355" max="14355" width="8.140625" style="2" customWidth="1"/>
    <col min="14356" max="14356" width="11.7109375" style="2" bestFit="1" customWidth="1"/>
    <col min="14357" max="14357" width="7" style="2" customWidth="1"/>
    <col min="14358" max="14358" width="6.5703125" style="2" customWidth="1"/>
    <col min="14359" max="14359" width="6.42578125" style="2" customWidth="1"/>
    <col min="14360" max="14592" width="9.140625" style="2"/>
    <col min="14593" max="14593" width="0" style="2" hidden="1" customWidth="1"/>
    <col min="14594" max="14594" width="32.5703125" style="2" customWidth="1"/>
    <col min="14595" max="14595" width="13.85546875" style="2" customWidth="1"/>
    <col min="14596" max="14596" width="14.140625" style="2" customWidth="1"/>
    <col min="14597" max="14597" width="13.140625" style="2" bestFit="1" customWidth="1"/>
    <col min="14598" max="14598" width="13.42578125" style="2" bestFit="1" customWidth="1"/>
    <col min="14599" max="14599" width="11.85546875" style="2" customWidth="1"/>
    <col min="14600" max="14600" width="8.7109375" style="2" bestFit="1" customWidth="1"/>
    <col min="14601" max="14601" width="7.140625" style="2" customWidth="1"/>
    <col min="14602" max="14602" width="9.7109375" style="2" customWidth="1"/>
    <col min="14603" max="14603" width="26.5703125" style="2" customWidth="1"/>
    <col min="14604" max="14604" width="0" style="2" hidden="1" customWidth="1"/>
    <col min="14605" max="14605" width="11.5703125" style="2" customWidth="1"/>
    <col min="14606" max="14606" width="10.5703125" style="2" customWidth="1"/>
    <col min="14607" max="14607" width="10.28515625" style="2" customWidth="1"/>
    <col min="14608" max="14608" width="10.140625" style="2" customWidth="1"/>
    <col min="14609" max="14609" width="11.5703125" style="2" customWidth="1"/>
    <col min="14610" max="14610" width="9.85546875" style="2" customWidth="1"/>
    <col min="14611" max="14611" width="8.140625" style="2" customWidth="1"/>
    <col min="14612" max="14612" width="11.7109375" style="2" bestFit="1" customWidth="1"/>
    <col min="14613" max="14613" width="7" style="2" customWidth="1"/>
    <col min="14614" max="14614" width="6.5703125" style="2" customWidth="1"/>
    <col min="14615" max="14615" width="6.42578125" style="2" customWidth="1"/>
    <col min="14616" max="14848" width="9.140625" style="2"/>
    <col min="14849" max="14849" width="0" style="2" hidden="1" customWidth="1"/>
    <col min="14850" max="14850" width="32.5703125" style="2" customWidth="1"/>
    <col min="14851" max="14851" width="13.85546875" style="2" customWidth="1"/>
    <col min="14852" max="14852" width="14.140625" style="2" customWidth="1"/>
    <col min="14853" max="14853" width="13.140625" style="2" bestFit="1" customWidth="1"/>
    <col min="14854" max="14854" width="13.42578125" style="2" bestFit="1" customWidth="1"/>
    <col min="14855" max="14855" width="11.85546875" style="2" customWidth="1"/>
    <col min="14856" max="14856" width="8.7109375" style="2" bestFit="1" customWidth="1"/>
    <col min="14857" max="14857" width="7.140625" style="2" customWidth="1"/>
    <col min="14858" max="14858" width="9.7109375" style="2" customWidth="1"/>
    <col min="14859" max="14859" width="26.5703125" style="2" customWidth="1"/>
    <col min="14860" max="14860" width="0" style="2" hidden="1" customWidth="1"/>
    <col min="14861" max="14861" width="11.5703125" style="2" customWidth="1"/>
    <col min="14862" max="14862" width="10.5703125" style="2" customWidth="1"/>
    <col min="14863" max="14863" width="10.28515625" style="2" customWidth="1"/>
    <col min="14864" max="14864" width="10.140625" style="2" customWidth="1"/>
    <col min="14865" max="14865" width="11.5703125" style="2" customWidth="1"/>
    <col min="14866" max="14866" width="9.85546875" style="2" customWidth="1"/>
    <col min="14867" max="14867" width="8.140625" style="2" customWidth="1"/>
    <col min="14868" max="14868" width="11.7109375" style="2" bestFit="1" customWidth="1"/>
    <col min="14869" max="14869" width="7" style="2" customWidth="1"/>
    <col min="14870" max="14870" width="6.5703125" style="2" customWidth="1"/>
    <col min="14871" max="14871" width="6.42578125" style="2" customWidth="1"/>
    <col min="14872" max="15104" width="9.140625" style="2"/>
    <col min="15105" max="15105" width="0" style="2" hidden="1" customWidth="1"/>
    <col min="15106" max="15106" width="32.5703125" style="2" customWidth="1"/>
    <col min="15107" max="15107" width="13.85546875" style="2" customWidth="1"/>
    <col min="15108" max="15108" width="14.140625" style="2" customWidth="1"/>
    <col min="15109" max="15109" width="13.140625" style="2" bestFit="1" customWidth="1"/>
    <col min="15110" max="15110" width="13.42578125" style="2" bestFit="1" customWidth="1"/>
    <col min="15111" max="15111" width="11.85546875" style="2" customWidth="1"/>
    <col min="15112" max="15112" width="8.7109375" style="2" bestFit="1" customWidth="1"/>
    <col min="15113" max="15113" width="7.140625" style="2" customWidth="1"/>
    <col min="15114" max="15114" width="9.7109375" style="2" customWidth="1"/>
    <col min="15115" max="15115" width="26.5703125" style="2" customWidth="1"/>
    <col min="15116" max="15116" width="0" style="2" hidden="1" customWidth="1"/>
    <col min="15117" max="15117" width="11.5703125" style="2" customWidth="1"/>
    <col min="15118" max="15118" width="10.5703125" style="2" customWidth="1"/>
    <col min="15119" max="15119" width="10.28515625" style="2" customWidth="1"/>
    <col min="15120" max="15120" width="10.140625" style="2" customWidth="1"/>
    <col min="15121" max="15121" width="11.5703125" style="2" customWidth="1"/>
    <col min="15122" max="15122" width="9.85546875" style="2" customWidth="1"/>
    <col min="15123" max="15123" width="8.140625" style="2" customWidth="1"/>
    <col min="15124" max="15124" width="11.7109375" style="2" bestFit="1" customWidth="1"/>
    <col min="15125" max="15125" width="7" style="2" customWidth="1"/>
    <col min="15126" max="15126" width="6.5703125" style="2" customWidth="1"/>
    <col min="15127" max="15127" width="6.42578125" style="2" customWidth="1"/>
    <col min="15128" max="15360" width="9.140625" style="2"/>
    <col min="15361" max="15361" width="0" style="2" hidden="1" customWidth="1"/>
    <col min="15362" max="15362" width="32.5703125" style="2" customWidth="1"/>
    <col min="15363" max="15363" width="13.85546875" style="2" customWidth="1"/>
    <col min="15364" max="15364" width="14.140625" style="2" customWidth="1"/>
    <col min="15365" max="15365" width="13.140625" style="2" bestFit="1" customWidth="1"/>
    <col min="15366" max="15366" width="13.42578125" style="2" bestFit="1" customWidth="1"/>
    <col min="15367" max="15367" width="11.85546875" style="2" customWidth="1"/>
    <col min="15368" max="15368" width="8.7109375" style="2" bestFit="1" customWidth="1"/>
    <col min="15369" max="15369" width="7.140625" style="2" customWidth="1"/>
    <col min="15370" max="15370" width="9.7109375" style="2" customWidth="1"/>
    <col min="15371" max="15371" width="26.5703125" style="2" customWidth="1"/>
    <col min="15372" max="15372" width="0" style="2" hidden="1" customWidth="1"/>
    <col min="15373" max="15373" width="11.5703125" style="2" customWidth="1"/>
    <col min="15374" max="15374" width="10.5703125" style="2" customWidth="1"/>
    <col min="15375" max="15375" width="10.28515625" style="2" customWidth="1"/>
    <col min="15376" max="15376" width="10.140625" style="2" customWidth="1"/>
    <col min="15377" max="15377" width="11.5703125" style="2" customWidth="1"/>
    <col min="15378" max="15378" width="9.85546875" style="2" customWidth="1"/>
    <col min="15379" max="15379" width="8.140625" style="2" customWidth="1"/>
    <col min="15380" max="15380" width="11.7109375" style="2" bestFit="1" customWidth="1"/>
    <col min="15381" max="15381" width="7" style="2" customWidth="1"/>
    <col min="15382" max="15382" width="6.5703125" style="2" customWidth="1"/>
    <col min="15383" max="15383" width="6.42578125" style="2" customWidth="1"/>
    <col min="15384" max="15616" width="9.140625" style="2"/>
    <col min="15617" max="15617" width="0" style="2" hidden="1" customWidth="1"/>
    <col min="15618" max="15618" width="32.5703125" style="2" customWidth="1"/>
    <col min="15619" max="15619" width="13.85546875" style="2" customWidth="1"/>
    <col min="15620" max="15620" width="14.140625" style="2" customWidth="1"/>
    <col min="15621" max="15621" width="13.140625" style="2" bestFit="1" customWidth="1"/>
    <col min="15622" max="15622" width="13.42578125" style="2" bestFit="1" customWidth="1"/>
    <col min="15623" max="15623" width="11.85546875" style="2" customWidth="1"/>
    <col min="15624" max="15624" width="8.7109375" style="2" bestFit="1" customWidth="1"/>
    <col min="15625" max="15625" width="7.140625" style="2" customWidth="1"/>
    <col min="15626" max="15626" width="9.7109375" style="2" customWidth="1"/>
    <col min="15627" max="15627" width="26.5703125" style="2" customWidth="1"/>
    <col min="15628" max="15628" width="0" style="2" hidden="1" customWidth="1"/>
    <col min="15629" max="15629" width="11.5703125" style="2" customWidth="1"/>
    <col min="15630" max="15630" width="10.5703125" style="2" customWidth="1"/>
    <col min="15631" max="15631" width="10.28515625" style="2" customWidth="1"/>
    <col min="15632" max="15632" width="10.140625" style="2" customWidth="1"/>
    <col min="15633" max="15633" width="11.5703125" style="2" customWidth="1"/>
    <col min="15634" max="15634" width="9.85546875" style="2" customWidth="1"/>
    <col min="15635" max="15635" width="8.140625" style="2" customWidth="1"/>
    <col min="15636" max="15636" width="11.7109375" style="2" bestFit="1" customWidth="1"/>
    <col min="15637" max="15637" width="7" style="2" customWidth="1"/>
    <col min="15638" max="15638" width="6.5703125" style="2" customWidth="1"/>
    <col min="15639" max="15639" width="6.42578125" style="2" customWidth="1"/>
    <col min="15640" max="15872" width="9.140625" style="2"/>
    <col min="15873" max="15873" width="0" style="2" hidden="1" customWidth="1"/>
    <col min="15874" max="15874" width="32.5703125" style="2" customWidth="1"/>
    <col min="15875" max="15875" width="13.85546875" style="2" customWidth="1"/>
    <col min="15876" max="15876" width="14.140625" style="2" customWidth="1"/>
    <col min="15877" max="15877" width="13.140625" style="2" bestFit="1" customWidth="1"/>
    <col min="15878" max="15878" width="13.42578125" style="2" bestFit="1" customWidth="1"/>
    <col min="15879" max="15879" width="11.85546875" style="2" customWidth="1"/>
    <col min="15880" max="15880" width="8.7109375" style="2" bestFit="1" customWidth="1"/>
    <col min="15881" max="15881" width="7.140625" style="2" customWidth="1"/>
    <col min="15882" max="15882" width="9.7109375" style="2" customWidth="1"/>
    <col min="15883" max="15883" width="26.5703125" style="2" customWidth="1"/>
    <col min="15884" max="15884" width="0" style="2" hidden="1" customWidth="1"/>
    <col min="15885" max="15885" width="11.5703125" style="2" customWidth="1"/>
    <col min="15886" max="15886" width="10.5703125" style="2" customWidth="1"/>
    <col min="15887" max="15887" width="10.28515625" style="2" customWidth="1"/>
    <col min="15888" max="15888" width="10.140625" style="2" customWidth="1"/>
    <col min="15889" max="15889" width="11.5703125" style="2" customWidth="1"/>
    <col min="15890" max="15890" width="9.85546875" style="2" customWidth="1"/>
    <col min="15891" max="15891" width="8.140625" style="2" customWidth="1"/>
    <col min="15892" max="15892" width="11.7109375" style="2" bestFit="1" customWidth="1"/>
    <col min="15893" max="15893" width="7" style="2" customWidth="1"/>
    <col min="15894" max="15894" width="6.5703125" style="2" customWidth="1"/>
    <col min="15895" max="15895" width="6.42578125" style="2" customWidth="1"/>
    <col min="15896" max="16128" width="9.140625" style="2"/>
    <col min="16129" max="16129" width="0" style="2" hidden="1" customWidth="1"/>
    <col min="16130" max="16130" width="32.5703125" style="2" customWidth="1"/>
    <col min="16131" max="16131" width="13.85546875" style="2" customWidth="1"/>
    <col min="16132" max="16132" width="14.140625" style="2" customWidth="1"/>
    <col min="16133" max="16133" width="13.140625" style="2" bestFit="1" customWidth="1"/>
    <col min="16134" max="16134" width="13.42578125" style="2" bestFit="1" customWidth="1"/>
    <col min="16135" max="16135" width="11.85546875" style="2" customWidth="1"/>
    <col min="16136" max="16136" width="8.7109375" style="2" bestFit="1" customWidth="1"/>
    <col min="16137" max="16137" width="7.140625" style="2" customWidth="1"/>
    <col min="16138" max="16138" width="9.7109375" style="2" customWidth="1"/>
    <col min="16139" max="16139" width="26.5703125" style="2" customWidth="1"/>
    <col min="16140" max="16140" width="0" style="2" hidden="1" customWidth="1"/>
    <col min="16141" max="16141" width="11.5703125" style="2" customWidth="1"/>
    <col min="16142" max="16142" width="10.5703125" style="2" customWidth="1"/>
    <col min="16143" max="16143" width="10.28515625" style="2" customWidth="1"/>
    <col min="16144" max="16144" width="10.140625" style="2" customWidth="1"/>
    <col min="16145" max="16145" width="11.5703125" style="2" customWidth="1"/>
    <col min="16146" max="16146" width="9.85546875" style="2" customWidth="1"/>
    <col min="16147" max="16147" width="8.140625" style="2" customWidth="1"/>
    <col min="16148" max="16148" width="11.7109375" style="2" bestFit="1" customWidth="1"/>
    <col min="16149" max="16149" width="7" style="2" customWidth="1"/>
    <col min="16150" max="16150" width="6.5703125" style="2" customWidth="1"/>
    <col min="16151" max="16151" width="6.42578125" style="2" customWidth="1"/>
    <col min="16152" max="16384" width="9.140625" style="2"/>
  </cols>
  <sheetData>
    <row r="1" spans="1:23" ht="21" customHeight="1" x14ac:dyDescent="0.35">
      <c r="A1" s="101" t="s">
        <v>261</v>
      </c>
      <c r="K1" s="101"/>
    </row>
    <row r="2" spans="1:23" ht="21" customHeight="1" x14ac:dyDescent="0.35">
      <c r="H2" s="107"/>
      <c r="R2" s="107"/>
      <c r="U2" s="108"/>
      <c r="W2" s="109" t="s">
        <v>240</v>
      </c>
    </row>
    <row r="3" spans="1:23" ht="21" customHeight="1" x14ac:dyDescent="0.35">
      <c r="A3" s="567" t="s">
        <v>262</v>
      </c>
      <c r="B3" s="567"/>
      <c r="C3" s="567"/>
      <c r="D3" s="567"/>
      <c r="E3" s="567"/>
      <c r="F3" s="567"/>
      <c r="G3" s="567"/>
      <c r="H3" s="567"/>
      <c r="I3" s="567"/>
      <c r="J3" s="567"/>
      <c r="K3" s="567" t="s">
        <v>339</v>
      </c>
      <c r="L3" s="567"/>
      <c r="M3" s="567"/>
      <c r="N3" s="567"/>
      <c r="O3" s="567"/>
      <c r="P3" s="567"/>
      <c r="Q3" s="567"/>
      <c r="R3" s="567"/>
      <c r="S3" s="567"/>
      <c r="T3" s="567"/>
      <c r="U3" s="568" t="s">
        <v>263</v>
      </c>
      <c r="V3" s="568"/>
      <c r="W3" s="568"/>
    </row>
    <row r="4" spans="1:23" s="115" customFormat="1" ht="100.5" customHeight="1" x14ac:dyDescent="0.2">
      <c r="A4" s="110" t="s">
        <v>174</v>
      </c>
      <c r="B4" s="112" t="s">
        <v>180</v>
      </c>
      <c r="C4" s="111" t="s">
        <v>264</v>
      </c>
      <c r="D4" s="111" t="s">
        <v>265</v>
      </c>
      <c r="E4" s="111" t="s">
        <v>0</v>
      </c>
      <c r="F4" s="111" t="s">
        <v>177</v>
      </c>
      <c r="G4" s="110" t="s">
        <v>178</v>
      </c>
      <c r="H4" s="110" t="s">
        <v>181</v>
      </c>
      <c r="I4" s="110" t="s">
        <v>182</v>
      </c>
      <c r="J4" s="113" t="s">
        <v>183</v>
      </c>
      <c r="K4" s="110" t="s">
        <v>174</v>
      </c>
      <c r="L4" s="112" t="s">
        <v>180</v>
      </c>
      <c r="M4" s="111" t="s">
        <v>264</v>
      </c>
      <c r="N4" s="111" t="s">
        <v>265</v>
      </c>
      <c r="O4" s="111" t="s">
        <v>0</v>
      </c>
      <c r="P4" s="111" t="s">
        <v>177</v>
      </c>
      <c r="Q4" s="110" t="s">
        <v>178</v>
      </c>
      <c r="R4" s="110" t="s">
        <v>181</v>
      </c>
      <c r="S4" s="110" t="s">
        <v>182</v>
      </c>
      <c r="T4" s="526" t="s">
        <v>183</v>
      </c>
      <c r="U4" s="114" t="s">
        <v>266</v>
      </c>
      <c r="V4" s="114" t="s">
        <v>267</v>
      </c>
      <c r="W4" s="114" t="s">
        <v>268</v>
      </c>
    </row>
    <row r="5" spans="1:23" ht="21" customHeight="1" x14ac:dyDescent="0.35">
      <c r="A5" s="120" t="s">
        <v>185</v>
      </c>
      <c r="B5" s="121"/>
      <c r="C5" s="116"/>
      <c r="D5" s="116"/>
      <c r="E5" s="116"/>
      <c r="F5" s="116"/>
      <c r="G5" s="122"/>
      <c r="H5" s="117"/>
      <c r="I5" s="118"/>
      <c r="J5" s="117"/>
      <c r="K5" s="120" t="s">
        <v>185</v>
      </c>
      <c r="L5" s="121"/>
      <c r="M5" s="116"/>
      <c r="N5" s="116"/>
      <c r="O5" s="116"/>
      <c r="P5" s="116"/>
      <c r="Q5" s="122"/>
      <c r="R5" s="117"/>
      <c r="S5" s="118"/>
      <c r="T5" s="527"/>
      <c r="U5" s="119"/>
      <c r="V5" s="119"/>
      <c r="W5" s="119"/>
    </row>
    <row r="6" spans="1:23" ht="31.5" x14ac:dyDescent="0.35">
      <c r="A6" s="126" t="s">
        <v>288</v>
      </c>
      <c r="B6" s="127"/>
      <c r="C6" s="128">
        <v>90858.639218651835</v>
      </c>
      <c r="D6" s="128">
        <v>17781.949509293037</v>
      </c>
      <c r="E6" s="128">
        <v>9457.7209046099415</v>
      </c>
      <c r="F6" s="128">
        <v>15935.516526088013</v>
      </c>
      <c r="G6" s="123">
        <f>SUM(C6:F6)</f>
        <v>134033.82615864283</v>
      </c>
      <c r="H6" s="124">
        <v>1</v>
      </c>
      <c r="I6" s="125" t="s">
        <v>222</v>
      </c>
      <c r="J6" s="129">
        <f>SUM(G6/H6)</f>
        <v>134033.82615864283</v>
      </c>
      <c r="K6" s="126" t="s">
        <v>186</v>
      </c>
      <c r="L6" s="127"/>
      <c r="M6" s="128">
        <v>24805.4688555662</v>
      </c>
      <c r="N6" s="128">
        <v>2207.0245384790228</v>
      </c>
      <c r="O6" s="128">
        <v>7647.1218911319111</v>
      </c>
      <c r="P6" s="128">
        <v>1745.723019501781</v>
      </c>
      <c r="Q6" s="123">
        <f>SUM(M6:P6)</f>
        <v>36405.338304678917</v>
      </c>
      <c r="R6" s="124">
        <v>3</v>
      </c>
      <c r="S6" s="125" t="s">
        <v>222</v>
      </c>
      <c r="T6" s="129">
        <f>SUM(Q6/R6)</f>
        <v>12135.112768226305</v>
      </c>
      <c r="U6" s="454">
        <f>SUM(Q6-G6)*100/G6</f>
        <v>-72.838693523835204</v>
      </c>
      <c r="V6" s="454">
        <f>SUM(R6-H6)*100/H6</f>
        <v>200</v>
      </c>
      <c r="W6" s="452">
        <f>SUM(T6-J6)*100/J6</f>
        <v>-90.946231174611739</v>
      </c>
    </row>
    <row r="7" spans="1:23" ht="18" customHeight="1" x14ac:dyDescent="0.35">
      <c r="A7" s="126"/>
      <c r="B7" s="127"/>
      <c r="C7" s="128"/>
      <c r="D7" s="128"/>
      <c r="E7" s="128"/>
      <c r="F7" s="128"/>
      <c r="G7" s="123"/>
      <c r="H7" s="124"/>
      <c r="I7" s="125"/>
      <c r="J7" s="129"/>
      <c r="K7" s="126"/>
      <c r="L7" s="127"/>
      <c r="M7" s="128"/>
      <c r="N7" s="128"/>
      <c r="O7" s="128"/>
      <c r="P7" s="128"/>
      <c r="Q7" s="123"/>
      <c r="R7" s="124"/>
      <c r="S7" s="125"/>
      <c r="T7" s="129"/>
      <c r="U7" s="454"/>
      <c r="V7" s="454"/>
      <c r="W7" s="454"/>
    </row>
    <row r="8" spans="1:23" ht="31.5" x14ac:dyDescent="0.35">
      <c r="A8" s="126" t="s">
        <v>292</v>
      </c>
      <c r="B8" s="127"/>
      <c r="C8" s="128">
        <v>3638566.5438862946</v>
      </c>
      <c r="D8" s="128">
        <v>184070.97254490689</v>
      </c>
      <c r="E8" s="128">
        <v>104990.46075188728</v>
      </c>
      <c r="F8" s="128">
        <v>804763.43805040373</v>
      </c>
      <c r="G8" s="123">
        <f>SUM(C8:F8)</f>
        <v>4732391.4152334929</v>
      </c>
      <c r="H8" s="124">
        <v>1</v>
      </c>
      <c r="I8" s="125" t="s">
        <v>223</v>
      </c>
      <c r="J8" s="129">
        <f>SUM(G8/H8)</f>
        <v>4732391.4152334929</v>
      </c>
      <c r="K8" s="126" t="s">
        <v>187</v>
      </c>
      <c r="L8" s="127"/>
      <c r="M8" s="128">
        <v>6859570.4864653461</v>
      </c>
      <c r="N8" s="128">
        <v>827033.74092776119</v>
      </c>
      <c r="O8" s="128">
        <v>2865590.1711504743</v>
      </c>
      <c r="P8" s="128">
        <v>654171.17674515955</v>
      </c>
      <c r="Q8" s="123">
        <f>SUM(M8:P8)</f>
        <v>11206365.575288741</v>
      </c>
      <c r="R8" s="124">
        <v>53730</v>
      </c>
      <c r="S8" s="125" t="s">
        <v>575</v>
      </c>
      <c r="T8" s="129">
        <f>SUM(Q8/R8)</f>
        <v>208.56812907665625</v>
      </c>
      <c r="U8" s="454"/>
      <c r="V8" s="517"/>
      <c r="W8" s="452"/>
    </row>
    <row r="9" spans="1:23" ht="18" customHeight="1" x14ac:dyDescent="0.35">
      <c r="A9" s="126"/>
      <c r="B9" s="127"/>
      <c r="C9" s="128"/>
      <c r="D9" s="128"/>
      <c r="E9" s="128"/>
      <c r="F9" s="128"/>
      <c r="G9" s="123"/>
      <c r="H9" s="124"/>
      <c r="I9" s="125"/>
      <c r="J9" s="129"/>
      <c r="K9" s="126"/>
      <c r="L9" s="127"/>
      <c r="M9" s="128"/>
      <c r="N9" s="128"/>
      <c r="O9" s="128"/>
      <c r="P9" s="128"/>
      <c r="Q9" s="123"/>
      <c r="R9" s="124"/>
      <c r="S9" s="125"/>
      <c r="T9" s="129"/>
      <c r="U9" s="130"/>
      <c r="V9" s="138"/>
      <c r="W9" s="131"/>
    </row>
    <row r="10" spans="1:23" ht="31.5" x14ac:dyDescent="0.35">
      <c r="A10" s="126"/>
      <c r="B10" s="133"/>
      <c r="C10" s="134"/>
      <c r="D10" s="134"/>
      <c r="E10" s="134"/>
      <c r="F10" s="134"/>
      <c r="G10" s="135"/>
      <c r="H10" s="136"/>
      <c r="I10" s="137"/>
      <c r="J10" s="136"/>
      <c r="K10" s="126" t="s">
        <v>188</v>
      </c>
      <c r="L10" s="133"/>
      <c r="M10" s="134">
        <v>24451362.845024545</v>
      </c>
      <c r="N10" s="134">
        <v>14618840.106919086</v>
      </c>
      <c r="O10" s="134">
        <v>2837241.7333967537</v>
      </c>
      <c r="P10" s="134">
        <v>3661629.7519108029</v>
      </c>
      <c r="Q10" s="464">
        <f>SUM(M10:P10)</f>
        <v>45569074.437251188</v>
      </c>
      <c r="R10" s="518">
        <v>120248</v>
      </c>
      <c r="S10" s="137" t="s">
        <v>224</v>
      </c>
      <c r="T10" s="129">
        <f>SUM(Q10/R10)</f>
        <v>378.95910482711719</v>
      </c>
      <c r="U10" s="130"/>
      <c r="V10" s="138"/>
      <c r="W10" s="138"/>
    </row>
    <row r="11" spans="1:23" ht="18" customHeight="1" x14ac:dyDescent="0.35">
      <c r="A11" s="126"/>
      <c r="B11" s="133"/>
      <c r="C11" s="134"/>
      <c r="D11" s="134"/>
      <c r="E11" s="134"/>
      <c r="F11" s="134"/>
      <c r="G11" s="135"/>
      <c r="H11" s="136"/>
      <c r="I11" s="137"/>
      <c r="J11" s="136"/>
      <c r="K11" s="126"/>
      <c r="L11" s="133"/>
      <c r="M11" s="134"/>
      <c r="N11" s="134"/>
      <c r="O11" s="134"/>
      <c r="P11" s="134"/>
      <c r="Q11" s="464"/>
      <c r="R11" s="136"/>
      <c r="S11" s="137"/>
      <c r="T11" s="129"/>
      <c r="U11" s="130"/>
      <c r="V11" s="138"/>
      <c r="W11" s="138"/>
    </row>
    <row r="12" spans="1:23" ht="31.5" x14ac:dyDescent="0.35">
      <c r="A12" s="126"/>
      <c r="B12" s="133"/>
      <c r="C12" s="134"/>
      <c r="D12" s="134"/>
      <c r="E12" s="134"/>
      <c r="F12" s="134"/>
      <c r="G12" s="135"/>
      <c r="H12" s="136"/>
      <c r="I12" s="137"/>
      <c r="J12" s="136"/>
      <c r="K12" s="126" t="s">
        <v>457</v>
      </c>
      <c r="L12" s="133"/>
      <c r="M12" s="134">
        <v>357506.06944409903</v>
      </c>
      <c r="N12" s="134">
        <v>190700.11937159876</v>
      </c>
      <c r="O12" s="134">
        <v>23514.647227196663</v>
      </c>
      <c r="P12" s="134">
        <v>79644.809865991061</v>
      </c>
      <c r="Q12" s="464">
        <f>SUM(M12:P12)</f>
        <v>651365.64590888564</v>
      </c>
      <c r="R12" s="136">
        <v>1</v>
      </c>
      <c r="S12" s="137" t="s">
        <v>222</v>
      </c>
      <c r="T12" s="129">
        <f>SUM(Q12/R12)</f>
        <v>651365.64590888564</v>
      </c>
      <c r="U12" s="130"/>
      <c r="V12" s="138"/>
      <c r="W12" s="138"/>
    </row>
    <row r="13" spans="1:23" ht="18" customHeight="1" x14ac:dyDescent="0.35">
      <c r="A13" s="126"/>
      <c r="B13" s="133"/>
      <c r="C13" s="134"/>
      <c r="D13" s="134"/>
      <c r="E13" s="134"/>
      <c r="F13" s="134"/>
      <c r="G13" s="135"/>
      <c r="H13" s="136"/>
      <c r="I13" s="137"/>
      <c r="J13" s="136"/>
      <c r="K13" s="126"/>
      <c r="L13" s="133"/>
      <c r="M13" s="134"/>
      <c r="N13" s="134"/>
      <c r="O13" s="134"/>
      <c r="P13" s="134"/>
      <c r="Q13" s="464"/>
      <c r="R13" s="136"/>
      <c r="S13" s="137"/>
      <c r="T13" s="129"/>
      <c r="U13" s="130"/>
      <c r="V13" s="138"/>
      <c r="W13" s="138"/>
    </row>
    <row r="14" spans="1:23" ht="31.5" x14ac:dyDescent="0.35">
      <c r="A14" s="126" t="s">
        <v>287</v>
      </c>
      <c r="B14" s="127">
        <f>199990</f>
        <v>199990</v>
      </c>
      <c r="C14" s="128">
        <f>767925.57423551+199990</f>
        <v>967915.57423550996</v>
      </c>
      <c r="D14" s="128">
        <v>69644.641665918083</v>
      </c>
      <c r="E14" s="128">
        <v>41083.366293883795</v>
      </c>
      <c r="F14" s="128">
        <v>122708.30419803962</v>
      </c>
      <c r="G14" s="123">
        <f>SUM(C14:F14)</f>
        <v>1201351.8863933515</v>
      </c>
      <c r="H14" s="124">
        <v>1</v>
      </c>
      <c r="I14" s="125" t="s">
        <v>222</v>
      </c>
      <c r="J14" s="129">
        <f>SUM(G14/H14)</f>
        <v>1201351.8863933515</v>
      </c>
      <c r="K14" s="126" t="s">
        <v>189</v>
      </c>
      <c r="L14" s="127">
        <f>199990</f>
        <v>199990</v>
      </c>
      <c r="M14" s="128">
        <v>695390.34539040702</v>
      </c>
      <c r="N14" s="128">
        <v>314247.35292048205</v>
      </c>
      <c r="O14" s="128">
        <v>37242.484412758742</v>
      </c>
      <c r="P14" s="128">
        <v>126742.45198384603</v>
      </c>
      <c r="Q14" s="123">
        <f>SUM(M14:P14)</f>
        <v>1173622.6347074937</v>
      </c>
      <c r="R14" s="124">
        <v>2</v>
      </c>
      <c r="S14" s="125" t="s">
        <v>222</v>
      </c>
      <c r="T14" s="129">
        <f t="shared" ref="T14:T72" si="0">SUM(Q14/R14)</f>
        <v>586811.31735374685</v>
      </c>
      <c r="U14" s="454">
        <f>SUM(Q14-G14)*100/G14</f>
        <v>-2.3081706534049218</v>
      </c>
      <c r="V14" s="454">
        <f>SUM(R14-H14)*100/H14</f>
        <v>100</v>
      </c>
      <c r="W14" s="452">
        <f>SUM(T14-J14)*100/J14</f>
        <v>-51.154085326702464</v>
      </c>
    </row>
    <row r="15" spans="1:23" ht="18" customHeight="1" x14ac:dyDescent="0.35">
      <c r="A15" s="136"/>
      <c r="B15" s="136"/>
      <c r="C15" s="138"/>
      <c r="D15" s="138"/>
      <c r="E15" s="138"/>
      <c r="F15" s="138"/>
      <c r="G15" s="138"/>
      <c r="H15" s="136"/>
      <c r="I15" s="136"/>
      <c r="J15" s="136"/>
      <c r="K15" s="136"/>
      <c r="L15" s="136"/>
      <c r="M15" s="138"/>
      <c r="N15" s="138"/>
      <c r="O15" s="138"/>
      <c r="P15" s="138"/>
      <c r="Q15" s="138"/>
      <c r="R15" s="136"/>
      <c r="S15" s="136"/>
      <c r="T15" s="129"/>
      <c r="U15" s="130"/>
      <c r="V15" s="138"/>
      <c r="W15" s="138"/>
    </row>
    <row r="16" spans="1:23" ht="31.5" x14ac:dyDescent="0.35">
      <c r="A16" s="126"/>
      <c r="B16" s="133"/>
      <c r="C16" s="134"/>
      <c r="D16" s="134"/>
      <c r="E16" s="134"/>
      <c r="F16" s="134"/>
      <c r="G16" s="135"/>
      <c r="H16" s="136"/>
      <c r="I16" s="137"/>
      <c r="J16" s="136"/>
      <c r="K16" s="126" t="s">
        <v>458</v>
      </c>
      <c r="L16" s="133"/>
      <c r="M16" s="134">
        <v>220442.44070862219</v>
      </c>
      <c r="N16" s="134">
        <v>14748.767511110636</v>
      </c>
      <c r="O16" s="134">
        <v>1316.2143652190177</v>
      </c>
      <c r="P16" s="134">
        <v>816.86473965758614</v>
      </c>
      <c r="Q16" s="464">
        <f>SUM(M16:P16)</f>
        <v>237324.28732460944</v>
      </c>
      <c r="R16" s="136">
        <v>1</v>
      </c>
      <c r="S16" s="137" t="s">
        <v>222</v>
      </c>
      <c r="T16" s="129">
        <f t="shared" si="0"/>
        <v>237324.28732460944</v>
      </c>
      <c r="U16" s="130"/>
      <c r="V16" s="138"/>
      <c r="W16" s="138"/>
    </row>
    <row r="17" spans="1:24" ht="18" customHeight="1" x14ac:dyDescent="0.35">
      <c r="A17" s="126"/>
      <c r="B17" s="133"/>
      <c r="C17" s="134"/>
      <c r="D17" s="134"/>
      <c r="E17" s="134"/>
      <c r="F17" s="134"/>
      <c r="G17" s="135"/>
      <c r="H17" s="136"/>
      <c r="I17" s="137"/>
      <c r="J17" s="136"/>
      <c r="K17" s="126"/>
      <c r="L17" s="133"/>
      <c r="M17" s="134"/>
      <c r="N17" s="134"/>
      <c r="O17" s="134"/>
      <c r="P17" s="134"/>
      <c r="Q17" s="464"/>
      <c r="R17" s="136"/>
      <c r="S17" s="137"/>
      <c r="T17" s="129"/>
      <c r="U17" s="130"/>
      <c r="V17" s="138"/>
      <c r="W17" s="138"/>
    </row>
    <row r="18" spans="1:24" ht="47.25" x14ac:dyDescent="0.35">
      <c r="A18" s="126" t="s">
        <v>294</v>
      </c>
      <c r="B18" s="127"/>
      <c r="C18" s="128">
        <v>19120.429429979064</v>
      </c>
      <c r="D18" s="128">
        <v>395973.65614596452</v>
      </c>
      <c r="E18" s="128">
        <v>210607.29721728971</v>
      </c>
      <c r="F18" s="128">
        <v>354856.74605654529</v>
      </c>
      <c r="G18" s="123">
        <f>SUM(C18:F18)</f>
        <v>980558.12884977856</v>
      </c>
      <c r="H18" s="124">
        <v>10</v>
      </c>
      <c r="I18" s="125" t="s">
        <v>282</v>
      </c>
      <c r="J18" s="129">
        <f>SUM(G18/H18)</f>
        <v>98055.812884977859</v>
      </c>
      <c r="K18" s="126" t="s">
        <v>190</v>
      </c>
      <c r="L18" s="127"/>
      <c r="M18" s="128">
        <v>271783.17517914088</v>
      </c>
      <c r="N18" s="128">
        <v>33459.971031046982</v>
      </c>
      <c r="O18" s="128">
        <v>115935.49255437557</v>
      </c>
      <c r="P18" s="128">
        <v>26466.330864185198</v>
      </c>
      <c r="Q18" s="123">
        <f>SUM(M18:P18)</f>
        <v>447644.9696287486</v>
      </c>
      <c r="R18" s="124">
        <v>1</v>
      </c>
      <c r="S18" s="125" t="s">
        <v>222</v>
      </c>
      <c r="T18" s="129">
        <f t="shared" si="0"/>
        <v>447644.9696287486</v>
      </c>
      <c r="U18" s="454"/>
      <c r="V18" s="454"/>
      <c r="W18" s="452"/>
    </row>
    <row r="19" spans="1:24" ht="18" customHeight="1" x14ac:dyDescent="0.35">
      <c r="A19" s="132"/>
      <c r="B19" s="133"/>
      <c r="C19" s="134"/>
      <c r="D19" s="134"/>
      <c r="E19" s="134"/>
      <c r="F19" s="134"/>
      <c r="G19" s="135"/>
      <c r="H19" s="136"/>
      <c r="I19" s="137"/>
      <c r="J19" s="129"/>
      <c r="K19" s="132"/>
      <c r="L19" s="133"/>
      <c r="M19" s="134"/>
      <c r="N19" s="134"/>
      <c r="O19" s="134"/>
      <c r="P19" s="134"/>
      <c r="Q19" s="135"/>
      <c r="R19" s="136"/>
      <c r="S19" s="137"/>
      <c r="T19" s="129"/>
      <c r="U19" s="130"/>
      <c r="V19" s="138"/>
      <c r="W19" s="138"/>
    </row>
    <row r="20" spans="1:24" ht="31.5" x14ac:dyDescent="0.35">
      <c r="A20" s="126" t="s">
        <v>293</v>
      </c>
      <c r="B20" s="127"/>
      <c r="C20" s="128">
        <v>372420.0539554623</v>
      </c>
      <c r="D20" s="128">
        <v>59851.439811766802</v>
      </c>
      <c r="E20" s="128">
        <v>31833.304508199315</v>
      </c>
      <c r="F20" s="128">
        <v>53636.616600003552</v>
      </c>
      <c r="G20" s="123">
        <f>SUM(C20:F20)</f>
        <v>517741.41487543198</v>
      </c>
      <c r="H20" s="124">
        <v>204232</v>
      </c>
      <c r="I20" s="125" t="s">
        <v>224</v>
      </c>
      <c r="J20" s="129">
        <f>SUM(G20/H20)</f>
        <v>2.5350650969262016</v>
      </c>
      <c r="K20" s="126" t="s">
        <v>191</v>
      </c>
      <c r="L20" s="127"/>
      <c r="M20" s="128">
        <v>10310.589269155475</v>
      </c>
      <c r="N20" s="128">
        <v>1243.1106628708542</v>
      </c>
      <c r="O20" s="128">
        <v>4307.2555820745183</v>
      </c>
      <c r="P20" s="128">
        <v>983.28172710635886</v>
      </c>
      <c r="Q20" s="123">
        <f>SUM(M20:P20)</f>
        <v>16844.237241207207</v>
      </c>
      <c r="R20" s="124">
        <v>1</v>
      </c>
      <c r="S20" s="125" t="s">
        <v>222</v>
      </c>
      <c r="T20" s="129">
        <f t="shared" si="0"/>
        <v>16844.237241207207</v>
      </c>
      <c r="U20" s="454"/>
      <c r="V20" s="454"/>
      <c r="W20" s="130"/>
    </row>
    <row r="21" spans="1:24" ht="18" customHeight="1" x14ac:dyDescent="0.35">
      <c r="A21" s="126"/>
      <c r="B21" s="127"/>
      <c r="C21" s="128"/>
      <c r="D21" s="128"/>
      <c r="E21" s="128"/>
      <c r="F21" s="128"/>
      <c r="G21" s="123"/>
      <c r="H21" s="124"/>
      <c r="I21" s="125"/>
      <c r="J21" s="129"/>
      <c r="K21" s="126"/>
      <c r="L21" s="127"/>
      <c r="M21" s="128"/>
      <c r="N21" s="128"/>
      <c r="O21" s="128"/>
      <c r="P21" s="128"/>
      <c r="Q21" s="123"/>
      <c r="R21" s="124"/>
      <c r="S21" s="125"/>
      <c r="T21" s="129"/>
      <c r="U21" s="130"/>
      <c r="V21" s="138"/>
      <c r="W21" s="138"/>
    </row>
    <row r="22" spans="1:24" ht="31.5" x14ac:dyDescent="0.35">
      <c r="A22" s="126"/>
      <c r="B22" s="133"/>
      <c r="C22" s="134"/>
      <c r="D22" s="134"/>
      <c r="E22" s="134"/>
      <c r="F22" s="134"/>
      <c r="G22" s="135"/>
      <c r="H22" s="136"/>
      <c r="I22" s="137"/>
      <c r="J22" s="136"/>
      <c r="K22" s="126" t="s">
        <v>459</v>
      </c>
      <c r="L22" s="133"/>
      <c r="M22" s="134">
        <v>23852819.785921242</v>
      </c>
      <c r="N22" s="134">
        <v>662123.93870129762</v>
      </c>
      <c r="O22" s="134">
        <v>1496804.4064537955</v>
      </c>
      <c r="P22" s="134">
        <v>444260.83601576957</v>
      </c>
      <c r="Q22" s="464">
        <f>SUM(M22:P22)</f>
        <v>26456008.967092104</v>
      </c>
      <c r="R22" s="136">
        <v>740</v>
      </c>
      <c r="S22" s="137" t="s">
        <v>222</v>
      </c>
      <c r="T22" s="129">
        <f t="shared" si="0"/>
        <v>35751.363469043383</v>
      </c>
      <c r="U22" s="130"/>
      <c r="V22" s="138"/>
      <c r="W22" s="138"/>
    </row>
    <row r="23" spans="1:24" ht="18" customHeight="1" x14ac:dyDescent="0.35">
      <c r="A23" s="126"/>
      <c r="B23" s="133"/>
      <c r="C23" s="134"/>
      <c r="D23" s="134"/>
      <c r="E23" s="134"/>
      <c r="F23" s="134"/>
      <c r="G23" s="135"/>
      <c r="H23" s="136"/>
      <c r="I23" s="137"/>
      <c r="J23" s="136"/>
      <c r="K23" s="126"/>
      <c r="L23" s="133"/>
      <c r="M23" s="134"/>
      <c r="N23" s="134"/>
      <c r="O23" s="134"/>
      <c r="P23" s="134"/>
      <c r="Q23" s="464"/>
      <c r="R23" s="136"/>
      <c r="S23" s="137"/>
      <c r="T23" s="129"/>
      <c r="U23" s="130"/>
      <c r="V23" s="138"/>
      <c r="W23" s="138"/>
    </row>
    <row r="24" spans="1:24" ht="47.25" x14ac:dyDescent="0.35">
      <c r="A24" s="126" t="s">
        <v>290</v>
      </c>
      <c r="B24" s="127">
        <f>1158880+399680</f>
        <v>1558560</v>
      </c>
      <c r="C24" s="128">
        <f>1373572.3211554+1558560</f>
        <v>2932132.3211554</v>
      </c>
      <c r="D24" s="128">
        <v>70036.584314291307</v>
      </c>
      <c r="E24" s="128">
        <v>42876.844633965338</v>
      </c>
      <c r="F24" s="128">
        <v>266127.26409252058</v>
      </c>
      <c r="G24" s="123">
        <f>SUM(C24:F24)</f>
        <v>3311173.014196177</v>
      </c>
      <c r="H24" s="124">
        <v>47263</v>
      </c>
      <c r="I24" s="125" t="s">
        <v>224</v>
      </c>
      <c r="J24" s="129">
        <f>SUM(G24/H24)</f>
        <v>70.058460406579712</v>
      </c>
      <c r="K24" s="126" t="s">
        <v>192</v>
      </c>
      <c r="L24" s="127">
        <f>1158880+399680</f>
        <v>1558560</v>
      </c>
      <c r="M24" s="128">
        <v>2241032.9648720836</v>
      </c>
      <c r="N24" s="128">
        <v>724773.9651581872</v>
      </c>
      <c r="O24" s="128">
        <v>608682.30887943076</v>
      </c>
      <c r="P24" s="128">
        <v>299502.75779361656</v>
      </c>
      <c r="Q24" s="123">
        <f>SUM(M24:P24)</f>
        <v>3873991.9967033183</v>
      </c>
      <c r="R24" s="124">
        <v>135</v>
      </c>
      <c r="S24" s="125" t="s">
        <v>222</v>
      </c>
      <c r="T24" s="129">
        <f t="shared" si="0"/>
        <v>28696.237012617174</v>
      </c>
      <c r="U24" s="454"/>
      <c r="V24" s="454"/>
      <c r="W24" s="130"/>
    </row>
    <row r="25" spans="1:24" ht="31.5" x14ac:dyDescent="0.35">
      <c r="A25" s="126" t="s">
        <v>291</v>
      </c>
      <c r="B25" s="127"/>
      <c r="C25" s="128">
        <v>282210.6297557911</v>
      </c>
      <c r="D25" s="128">
        <v>55514.378955841676</v>
      </c>
      <c r="E25" s="128">
        <v>29526.543311952988</v>
      </c>
      <c r="F25" s="128">
        <v>49749.90525217721</v>
      </c>
      <c r="G25" s="123">
        <f>SUM(C25:F25)</f>
        <v>417001.45727576298</v>
      </c>
      <c r="H25" s="124">
        <v>1285212</v>
      </c>
      <c r="I25" s="125" t="s">
        <v>222</v>
      </c>
      <c r="J25" s="129">
        <f>SUM(G25/H25)</f>
        <v>0.32446122295447211</v>
      </c>
      <c r="K25" s="126"/>
      <c r="L25" s="127"/>
      <c r="M25" s="128"/>
      <c r="N25" s="128"/>
      <c r="O25" s="128"/>
      <c r="P25" s="128"/>
      <c r="Q25" s="123"/>
      <c r="R25" s="124"/>
      <c r="S25" s="125"/>
      <c r="T25" s="129"/>
      <c r="U25" s="130"/>
      <c r="V25" s="138"/>
      <c r="W25" s="138"/>
    </row>
    <row r="26" spans="1:24" ht="18" customHeight="1" x14ac:dyDescent="0.35">
      <c r="A26" s="132"/>
      <c r="B26" s="133"/>
      <c r="C26" s="134"/>
      <c r="D26" s="134"/>
      <c r="E26" s="134"/>
      <c r="F26" s="134"/>
      <c r="G26" s="135"/>
      <c r="H26" s="136"/>
      <c r="I26" s="137"/>
      <c r="J26" s="136"/>
      <c r="K26" s="132"/>
      <c r="L26" s="133"/>
      <c r="M26" s="134"/>
      <c r="N26" s="134"/>
      <c r="O26" s="134"/>
      <c r="P26" s="134"/>
      <c r="Q26" s="135"/>
      <c r="R26" s="136"/>
      <c r="S26" s="137"/>
      <c r="T26" s="129"/>
      <c r="U26" s="130"/>
      <c r="V26" s="138"/>
      <c r="W26" s="138"/>
    </row>
    <row r="27" spans="1:24" ht="47.25" x14ac:dyDescent="0.35">
      <c r="A27" s="126"/>
      <c r="B27" s="133"/>
      <c r="C27" s="134"/>
      <c r="D27" s="134"/>
      <c r="E27" s="134"/>
      <c r="F27" s="134"/>
      <c r="G27" s="135"/>
      <c r="H27" s="136"/>
      <c r="I27" s="137"/>
      <c r="J27" s="136"/>
      <c r="K27" s="126" t="s">
        <v>473</v>
      </c>
      <c r="L27" s="133"/>
      <c r="M27" s="134">
        <v>249715.94836645623</v>
      </c>
      <c r="N27" s="134">
        <v>142809.63555517554</v>
      </c>
      <c r="O27" s="134">
        <v>16234.376957808416</v>
      </c>
      <c r="P27" s="134">
        <v>55534.957624071503</v>
      </c>
      <c r="Q27" s="464">
        <f>SUM(M27:P27)</f>
        <v>464294.9185035117</v>
      </c>
      <c r="R27" s="136">
        <v>1</v>
      </c>
      <c r="S27" s="137" t="s">
        <v>222</v>
      </c>
      <c r="T27" s="129">
        <f>SUM(Q27/R27)</f>
        <v>464294.9185035117</v>
      </c>
      <c r="U27" s="130"/>
      <c r="V27" s="138"/>
      <c r="W27" s="138"/>
      <c r="X27" s="519"/>
    </row>
    <row r="28" spans="1:24" ht="18" customHeight="1" x14ac:dyDescent="0.35">
      <c r="A28" s="126"/>
      <c r="B28" s="133"/>
      <c r="C28" s="134"/>
      <c r="D28" s="134"/>
      <c r="E28" s="134"/>
      <c r="F28" s="134"/>
      <c r="G28" s="135"/>
      <c r="H28" s="136"/>
      <c r="I28" s="137"/>
      <c r="J28" s="136"/>
      <c r="K28" s="126"/>
      <c r="L28" s="133"/>
      <c r="M28" s="134"/>
      <c r="N28" s="134"/>
      <c r="O28" s="134"/>
      <c r="P28" s="134"/>
      <c r="Q28" s="464"/>
      <c r="R28" s="136"/>
      <c r="S28" s="137"/>
      <c r="T28" s="129"/>
      <c r="U28" s="130"/>
      <c r="V28" s="138"/>
      <c r="W28" s="138"/>
    </row>
    <row r="29" spans="1:24" x14ac:dyDescent="0.35">
      <c r="A29" s="126"/>
      <c r="B29" s="133"/>
      <c r="C29" s="134"/>
      <c r="D29" s="134"/>
      <c r="E29" s="134"/>
      <c r="F29" s="134"/>
      <c r="G29" s="135"/>
      <c r="H29" s="136"/>
      <c r="I29" s="137"/>
      <c r="J29" s="136"/>
      <c r="K29" s="126" t="s">
        <v>474</v>
      </c>
      <c r="L29" s="133"/>
      <c r="M29" s="134">
        <v>46000</v>
      </c>
      <c r="N29" s="134">
        <v>0</v>
      </c>
      <c r="O29" s="134">
        <v>0</v>
      </c>
      <c r="P29" s="134">
        <v>0</v>
      </c>
      <c r="Q29" s="464">
        <f>SUM(M29:P29)</f>
        <v>46000</v>
      </c>
      <c r="R29" s="136">
        <v>1</v>
      </c>
      <c r="S29" s="137" t="s">
        <v>222</v>
      </c>
      <c r="T29" s="129">
        <f>SUM(Q29/R29)</f>
        <v>46000</v>
      </c>
      <c r="U29" s="130"/>
      <c r="V29" s="138"/>
      <c r="W29" s="138"/>
      <c r="X29" s="519"/>
    </row>
    <row r="30" spans="1:24" ht="18" customHeight="1" x14ac:dyDescent="0.35">
      <c r="A30" s="126"/>
      <c r="B30" s="133"/>
      <c r="C30" s="134"/>
      <c r="D30" s="134"/>
      <c r="E30" s="134"/>
      <c r="F30" s="134"/>
      <c r="G30" s="135"/>
      <c r="H30" s="136"/>
      <c r="I30" s="137"/>
      <c r="J30" s="136"/>
      <c r="K30" s="126"/>
      <c r="L30" s="133"/>
      <c r="M30" s="134"/>
      <c r="N30" s="134"/>
      <c r="O30" s="134"/>
      <c r="P30" s="134"/>
      <c r="Q30" s="464"/>
      <c r="R30" s="136"/>
      <c r="S30" s="137"/>
      <c r="T30" s="129"/>
      <c r="U30" s="130"/>
      <c r="V30" s="138"/>
      <c r="W30" s="138"/>
    </row>
    <row r="31" spans="1:24" x14ac:dyDescent="0.35">
      <c r="A31" s="126"/>
      <c r="B31" s="133"/>
      <c r="C31" s="134"/>
      <c r="D31" s="134"/>
      <c r="E31" s="134"/>
      <c r="F31" s="134"/>
      <c r="G31" s="135"/>
      <c r="H31" s="136"/>
      <c r="I31" s="137"/>
      <c r="J31" s="136"/>
      <c r="K31" s="126" t="s">
        <v>460</v>
      </c>
      <c r="L31" s="133"/>
      <c r="M31" s="134">
        <v>192878.12136359469</v>
      </c>
      <c r="N31" s="134">
        <v>138268.39167002626</v>
      </c>
      <c r="O31" s="134">
        <v>16590.459714380511</v>
      </c>
      <c r="P31" s="134">
        <v>63275.095245435827</v>
      </c>
      <c r="Q31" s="464">
        <f>SUM(M31:P31)</f>
        <v>411012.06799343729</v>
      </c>
      <c r="R31" s="136">
        <v>18</v>
      </c>
      <c r="S31" s="137" t="s">
        <v>222</v>
      </c>
      <c r="T31" s="129">
        <f>SUM(Q31/R31)</f>
        <v>22834.003777413182</v>
      </c>
      <c r="U31" s="130"/>
      <c r="V31" s="138"/>
      <c r="W31" s="138"/>
      <c r="X31" s="519"/>
    </row>
    <row r="32" spans="1:24" ht="18" customHeight="1" x14ac:dyDescent="0.35">
      <c r="A32" s="126"/>
      <c r="B32" s="133"/>
      <c r="C32" s="134"/>
      <c r="D32" s="134"/>
      <c r="E32" s="134"/>
      <c r="F32" s="134"/>
      <c r="G32" s="135"/>
      <c r="H32" s="136"/>
      <c r="I32" s="137"/>
      <c r="J32" s="136"/>
      <c r="K32" s="126"/>
      <c r="L32" s="133"/>
      <c r="M32" s="134"/>
      <c r="N32" s="134"/>
      <c r="O32" s="134"/>
      <c r="P32" s="134"/>
      <c r="Q32" s="464"/>
      <c r="R32" s="136"/>
      <c r="S32" s="137"/>
      <c r="T32" s="129"/>
      <c r="U32" s="130"/>
      <c r="V32" s="138"/>
      <c r="W32" s="138"/>
    </row>
    <row r="33" spans="1:24" ht="47.25" x14ac:dyDescent="0.35">
      <c r="A33" s="126" t="s">
        <v>271</v>
      </c>
      <c r="B33" s="127">
        <f>12500000+1000000</f>
        <v>13500000</v>
      </c>
      <c r="C33" s="128">
        <f>6327800.47649669+13500000</f>
        <v>19827800.476496689</v>
      </c>
      <c r="D33" s="128">
        <v>2216685.2923239707</v>
      </c>
      <c r="E33" s="128">
        <v>1468531.5051300493</v>
      </c>
      <c r="F33" s="128">
        <v>3565980.5907336287</v>
      </c>
      <c r="G33" s="123">
        <f>SUM(C33:F33)</f>
        <v>27078997.864684336</v>
      </c>
      <c r="H33" s="124">
        <v>79113</v>
      </c>
      <c r="I33" s="125" t="s">
        <v>272</v>
      </c>
      <c r="J33" s="129">
        <f>SUM(G33/H33)</f>
        <v>342.28253086957056</v>
      </c>
      <c r="K33" s="126" t="s">
        <v>193</v>
      </c>
      <c r="L33" s="127"/>
      <c r="M33" s="128">
        <v>36903760.550325699</v>
      </c>
      <c r="N33" s="128">
        <v>100626946.79569757</v>
      </c>
      <c r="O33" s="128">
        <v>42613379.670831211</v>
      </c>
      <c r="P33" s="128">
        <v>31495970.807224076</v>
      </c>
      <c r="Q33" s="123">
        <f>SUM(M33:P33)</f>
        <v>211640057.82407853</v>
      </c>
      <c r="R33" s="124">
        <v>74758</v>
      </c>
      <c r="S33" s="125" t="s">
        <v>270</v>
      </c>
      <c r="T33" s="129">
        <f>SUM(Q33/R33)</f>
        <v>2831.0021378859592</v>
      </c>
      <c r="U33" s="454">
        <f>SUM(Q33-G33)*100/G33</f>
        <v>681.5653255768874</v>
      </c>
      <c r="V33" s="454">
        <f>SUM(R33-H33)*100/H33</f>
        <v>-5.5047842958805759</v>
      </c>
      <c r="W33" s="452">
        <f>SUM(T33-J33)*100/J33</f>
        <v>727.09512831221139</v>
      </c>
      <c r="X33" s="519"/>
    </row>
    <row r="34" spans="1:24" ht="18" customHeight="1" x14ac:dyDescent="0.35">
      <c r="A34" s="132"/>
      <c r="B34" s="133"/>
      <c r="C34" s="134"/>
      <c r="D34" s="134"/>
      <c r="E34" s="134"/>
      <c r="F34" s="134"/>
      <c r="G34" s="135"/>
      <c r="H34" s="136"/>
      <c r="I34" s="137"/>
      <c r="J34" s="136"/>
      <c r="K34" s="132"/>
      <c r="L34" s="133"/>
      <c r="M34" s="134"/>
      <c r="N34" s="134"/>
      <c r="O34" s="134"/>
      <c r="P34" s="134"/>
      <c r="Q34" s="135"/>
      <c r="R34" s="136"/>
      <c r="S34" s="137"/>
      <c r="T34" s="129"/>
      <c r="U34" s="130"/>
      <c r="V34" s="138"/>
      <c r="W34" s="138"/>
    </row>
    <row r="35" spans="1:24" ht="21.95" customHeight="1" x14ac:dyDescent="0.35">
      <c r="A35" s="126" t="s">
        <v>295</v>
      </c>
      <c r="B35" s="127"/>
      <c r="C35" s="128">
        <v>11212007.427412577</v>
      </c>
      <c r="D35" s="128">
        <v>2692378.4977008011</v>
      </c>
      <c r="E35" s="128">
        <v>1736113.5093896175</v>
      </c>
      <c r="F35" s="128">
        <v>2623942.4233099548</v>
      </c>
      <c r="G35" s="123">
        <f>SUM(C35:F35)</f>
        <v>18264441.857812952</v>
      </c>
      <c r="H35" s="124">
        <v>79133</v>
      </c>
      <c r="I35" s="125" t="s">
        <v>270</v>
      </c>
      <c r="J35" s="129">
        <f>SUM(G35/H35)</f>
        <v>230.80689292473372</v>
      </c>
      <c r="K35" s="126"/>
      <c r="L35" s="127"/>
      <c r="M35" s="128"/>
      <c r="N35" s="128"/>
      <c r="O35" s="128"/>
      <c r="P35" s="128"/>
      <c r="Q35" s="123"/>
      <c r="R35" s="124"/>
      <c r="S35" s="125"/>
      <c r="T35" s="129"/>
      <c r="U35" s="130"/>
      <c r="V35" s="131"/>
      <c r="W35" s="131"/>
    </row>
    <row r="36" spans="1:24" ht="18" customHeight="1" x14ac:dyDescent="0.35">
      <c r="A36" s="140"/>
      <c r="B36" s="136"/>
      <c r="C36" s="128"/>
      <c r="D36" s="128"/>
      <c r="E36" s="128"/>
      <c r="F36" s="128"/>
      <c r="G36" s="128"/>
      <c r="H36" s="136"/>
      <c r="I36" s="136"/>
      <c r="J36" s="129"/>
      <c r="K36" s="140"/>
      <c r="L36" s="136"/>
      <c r="M36" s="128"/>
      <c r="N36" s="128"/>
      <c r="O36" s="128"/>
      <c r="P36" s="128"/>
      <c r="Q36" s="128"/>
      <c r="R36" s="136"/>
      <c r="S36" s="136"/>
      <c r="T36" s="129"/>
      <c r="U36" s="130"/>
      <c r="V36" s="138"/>
      <c r="W36" s="138"/>
    </row>
    <row r="37" spans="1:24" ht="36" customHeight="1" x14ac:dyDescent="0.35">
      <c r="A37" s="126"/>
      <c r="B37" s="133"/>
      <c r="C37" s="134"/>
      <c r="D37" s="134"/>
      <c r="E37" s="134"/>
      <c r="F37" s="134"/>
      <c r="G37" s="135"/>
      <c r="H37" s="136"/>
      <c r="I37" s="137"/>
      <c r="J37" s="136"/>
      <c r="K37" s="126" t="s">
        <v>461</v>
      </c>
      <c r="L37" s="133"/>
      <c r="M37" s="134">
        <v>7544014.6470125038</v>
      </c>
      <c r="N37" s="134">
        <v>3282353.5551955765</v>
      </c>
      <c r="O37" s="134">
        <v>1523726.3666781595</v>
      </c>
      <c r="P37" s="134">
        <v>859793.54080653435</v>
      </c>
      <c r="Q37" s="464">
        <f>SUM(M37:P37)</f>
        <v>13209888.109692773</v>
      </c>
      <c r="R37" s="136">
        <v>47</v>
      </c>
      <c r="S37" s="137" t="s">
        <v>222</v>
      </c>
      <c r="T37" s="129">
        <f>SUM(Q37/R37)</f>
        <v>281061.44914239942</v>
      </c>
      <c r="U37" s="130"/>
      <c r="V37" s="138"/>
      <c r="W37" s="138"/>
      <c r="X37" s="519"/>
    </row>
    <row r="38" spans="1:24" ht="18" customHeight="1" x14ac:dyDescent="0.35">
      <c r="A38" s="126"/>
      <c r="B38" s="133"/>
      <c r="C38" s="134"/>
      <c r="D38" s="134"/>
      <c r="E38" s="134"/>
      <c r="F38" s="134"/>
      <c r="G38" s="135"/>
      <c r="H38" s="136"/>
      <c r="I38" s="137"/>
      <c r="J38" s="136"/>
      <c r="K38" s="126"/>
      <c r="L38" s="133"/>
      <c r="M38" s="134"/>
      <c r="N38" s="134"/>
      <c r="O38" s="134"/>
      <c r="P38" s="134"/>
      <c r="Q38" s="464"/>
      <c r="R38" s="136"/>
      <c r="S38" s="137"/>
      <c r="T38" s="129"/>
      <c r="U38" s="130"/>
      <c r="V38" s="138"/>
      <c r="W38" s="138"/>
    </row>
    <row r="39" spans="1:24" x14ac:dyDescent="0.35">
      <c r="A39" s="126"/>
      <c r="B39" s="133"/>
      <c r="C39" s="134"/>
      <c r="D39" s="134"/>
      <c r="E39" s="134"/>
      <c r="F39" s="134"/>
      <c r="G39" s="135"/>
      <c r="H39" s="136"/>
      <c r="I39" s="137"/>
      <c r="J39" s="136"/>
      <c r="K39" s="126" t="s">
        <v>462</v>
      </c>
      <c r="L39" s="133"/>
      <c r="M39" s="134">
        <v>740625.89649682317</v>
      </c>
      <c r="N39" s="134">
        <v>89294.600444199255</v>
      </c>
      <c r="O39" s="134">
        <v>309396.96496863558</v>
      </c>
      <c r="P39" s="134">
        <v>70630.677998750412</v>
      </c>
      <c r="Q39" s="464">
        <f>SUM(M39:P39)</f>
        <v>1209948.1399084085</v>
      </c>
      <c r="R39" s="136">
        <v>1</v>
      </c>
      <c r="S39" s="137" t="s">
        <v>222</v>
      </c>
      <c r="T39" s="129">
        <f t="shared" si="0"/>
        <v>1209948.1399084085</v>
      </c>
      <c r="U39" s="130"/>
      <c r="V39" s="138"/>
      <c r="W39" s="138"/>
      <c r="X39" s="519"/>
    </row>
    <row r="40" spans="1:24" ht="18" customHeight="1" x14ac:dyDescent="0.35">
      <c r="A40" s="126"/>
      <c r="B40" s="133"/>
      <c r="C40" s="134"/>
      <c r="D40" s="134"/>
      <c r="E40" s="134"/>
      <c r="F40" s="134"/>
      <c r="G40" s="135"/>
      <c r="H40" s="136"/>
      <c r="I40" s="137"/>
      <c r="J40" s="136"/>
      <c r="K40" s="126"/>
      <c r="L40" s="133"/>
      <c r="M40" s="134"/>
      <c r="N40" s="134"/>
      <c r="O40" s="134"/>
      <c r="P40" s="134"/>
      <c r="Q40" s="464"/>
      <c r="R40" s="136"/>
      <c r="S40" s="137"/>
      <c r="T40" s="129"/>
      <c r="U40" s="130"/>
      <c r="V40" s="138"/>
      <c r="W40" s="138"/>
    </row>
    <row r="41" spans="1:24" s="437" customFormat="1" ht="31.5" x14ac:dyDescent="0.35">
      <c r="A41" s="126" t="s">
        <v>269</v>
      </c>
      <c r="B41" s="447"/>
      <c r="C41" s="448">
        <v>6957176.1132452078</v>
      </c>
      <c r="D41" s="448">
        <v>695088.98653143819</v>
      </c>
      <c r="E41" s="448">
        <v>381216.79593910649</v>
      </c>
      <c r="F41" s="448">
        <v>1662597.3328884512</v>
      </c>
      <c r="G41" s="449">
        <f>SUM(C41:F41)</f>
        <v>9696079.2286042031</v>
      </c>
      <c r="H41" s="124">
        <v>1024</v>
      </c>
      <c r="I41" s="125" t="s">
        <v>225</v>
      </c>
      <c r="J41" s="450">
        <f>SUM(G41/H41)</f>
        <v>9468.8273716837921</v>
      </c>
      <c r="K41" s="126" t="s">
        <v>194</v>
      </c>
      <c r="L41" s="447"/>
      <c r="M41" s="448">
        <v>353842.04835340468</v>
      </c>
      <c r="N41" s="448">
        <v>42661.463064584896</v>
      </c>
      <c r="O41" s="448">
        <v>147817.75300682883</v>
      </c>
      <c r="P41" s="448">
        <v>33744.571851836125</v>
      </c>
      <c r="Q41" s="449">
        <f>SUM(M41:P41)</f>
        <v>578065.8362766545</v>
      </c>
      <c r="R41" s="124">
        <v>1048</v>
      </c>
      <c r="S41" s="125" t="s">
        <v>225</v>
      </c>
      <c r="T41" s="450">
        <f t="shared" si="0"/>
        <v>551.58953843192228</v>
      </c>
      <c r="U41" s="451">
        <f>SUM(Q41-G41)*100/G41</f>
        <v>-94.038148589263656</v>
      </c>
      <c r="V41" s="520">
        <f>SUM(R41-H41)*100/H41</f>
        <v>2.34375</v>
      </c>
      <c r="W41" s="521">
        <v>-94.17</v>
      </c>
      <c r="X41" s="522"/>
    </row>
    <row r="42" spans="1:24" ht="31.5" x14ac:dyDescent="0.35">
      <c r="A42" s="132"/>
      <c r="B42" s="133"/>
      <c r="C42" s="134"/>
      <c r="D42" s="134"/>
      <c r="E42" s="134"/>
      <c r="F42" s="134"/>
      <c r="G42" s="135"/>
      <c r="H42" s="136"/>
      <c r="I42" s="137"/>
      <c r="J42" s="136"/>
      <c r="K42" s="126" t="s">
        <v>195</v>
      </c>
      <c r="L42" s="133"/>
      <c r="M42" s="134">
        <v>7061655.5183434105</v>
      </c>
      <c r="N42" s="134">
        <v>857957.30067651987</v>
      </c>
      <c r="O42" s="134">
        <v>2972737.249301869</v>
      </c>
      <c r="P42" s="134">
        <v>678631.24465883581</v>
      </c>
      <c r="Q42" s="123">
        <f>SUM(M42:P42)</f>
        <v>11570981.312980635</v>
      </c>
      <c r="R42" s="518">
        <v>22206</v>
      </c>
      <c r="S42" s="125" t="s">
        <v>225</v>
      </c>
      <c r="T42" s="129">
        <f t="shared" si="0"/>
        <v>521.07454350088426</v>
      </c>
      <c r="U42" s="130"/>
      <c r="V42" s="138"/>
      <c r="W42" s="138"/>
    </row>
    <row r="43" spans="1:24" ht="18" customHeight="1" x14ac:dyDescent="0.35">
      <c r="A43" s="132"/>
      <c r="B43" s="133"/>
      <c r="C43" s="134"/>
      <c r="D43" s="134"/>
      <c r="E43" s="134"/>
      <c r="F43" s="134"/>
      <c r="G43" s="135"/>
      <c r="H43" s="136"/>
      <c r="I43" s="137"/>
      <c r="J43" s="136"/>
      <c r="K43" s="126"/>
      <c r="L43" s="133"/>
      <c r="M43" s="134"/>
      <c r="N43" s="134"/>
      <c r="O43" s="134"/>
      <c r="P43" s="134"/>
      <c r="Q43" s="123"/>
      <c r="R43" s="136"/>
      <c r="S43" s="125"/>
      <c r="T43" s="129"/>
      <c r="U43" s="130"/>
      <c r="V43" s="138"/>
      <c r="W43" s="138"/>
    </row>
    <row r="44" spans="1:24" ht="31.5" x14ac:dyDescent="0.35">
      <c r="A44" s="126" t="s">
        <v>296</v>
      </c>
      <c r="B44" s="127"/>
      <c r="C44" s="128">
        <v>67534850.690249041</v>
      </c>
      <c r="D44" s="128">
        <v>16885186.558396775</v>
      </c>
      <c r="E44" s="128">
        <v>13143227.183218244</v>
      </c>
      <c r="F44" s="128">
        <v>24623561.34204264</v>
      </c>
      <c r="G44" s="123">
        <f>SUM(C44:F44)</f>
        <v>122186825.77390669</v>
      </c>
      <c r="H44" s="124">
        <v>79133</v>
      </c>
      <c r="I44" s="125" t="s">
        <v>270</v>
      </c>
      <c r="J44" s="129">
        <f>SUM(G44/H44)</f>
        <v>1544.0691718234705</v>
      </c>
      <c r="K44" s="126"/>
      <c r="L44" s="127"/>
      <c r="M44" s="128"/>
      <c r="N44" s="128"/>
      <c r="O44" s="128"/>
      <c r="P44" s="128"/>
      <c r="Q44" s="123"/>
      <c r="R44" s="124"/>
      <c r="S44" s="125"/>
      <c r="T44" s="129"/>
      <c r="U44" s="130"/>
      <c r="V44" s="138"/>
      <c r="W44" s="138"/>
    </row>
    <row r="45" spans="1:24" ht="18" customHeight="1" x14ac:dyDescent="0.35">
      <c r="A45" s="136"/>
      <c r="B45" s="136"/>
      <c r="C45" s="138"/>
      <c r="D45" s="138"/>
      <c r="E45" s="138"/>
      <c r="F45" s="138"/>
      <c r="G45" s="138"/>
      <c r="H45" s="136"/>
      <c r="I45" s="136"/>
      <c r="J45" s="136"/>
      <c r="K45" s="136"/>
      <c r="L45" s="136"/>
      <c r="M45" s="138"/>
      <c r="N45" s="138"/>
      <c r="O45" s="138"/>
      <c r="P45" s="138"/>
      <c r="Q45" s="138"/>
      <c r="R45" s="136"/>
      <c r="S45" s="136"/>
      <c r="T45" s="129"/>
      <c r="U45" s="130"/>
      <c r="V45" s="138"/>
      <c r="W45" s="138"/>
    </row>
    <row r="46" spans="1:24" ht="21.95" customHeight="1" x14ac:dyDescent="0.35">
      <c r="A46" s="126" t="s">
        <v>318</v>
      </c>
      <c r="B46" s="127">
        <f>2499989.44+3249995.19</f>
        <v>5749984.6299999999</v>
      </c>
      <c r="C46" s="128">
        <f>17588698.7780043+5749984.63</f>
        <v>23338683.408004299</v>
      </c>
      <c r="D46" s="128">
        <v>25101.31525878243</v>
      </c>
      <c r="E46" s="128">
        <v>21526.499827413372</v>
      </c>
      <c r="F46" s="128">
        <v>94387.191610846232</v>
      </c>
      <c r="G46" s="123">
        <f>SUM(C46:F46)</f>
        <v>23479698.414701343</v>
      </c>
      <c r="H46" s="124">
        <v>49</v>
      </c>
      <c r="I46" s="125" t="s">
        <v>222</v>
      </c>
      <c r="J46" s="129">
        <f>SUM(G46/H46)</f>
        <v>479177.51866737433</v>
      </c>
      <c r="K46" s="126"/>
      <c r="L46" s="127">
        <f>2499989.44+3249995.19</f>
        <v>5749984.6299999999</v>
      </c>
      <c r="M46" s="128"/>
      <c r="N46" s="128"/>
      <c r="O46" s="128"/>
      <c r="P46" s="128"/>
      <c r="Q46" s="123"/>
      <c r="R46" s="124"/>
      <c r="S46" s="125"/>
      <c r="T46" s="129"/>
      <c r="U46" s="130"/>
      <c r="V46" s="131"/>
      <c r="W46" s="130"/>
    </row>
    <row r="47" spans="1:24" ht="18" customHeight="1" x14ac:dyDescent="0.35">
      <c r="A47" s="132"/>
      <c r="B47" s="133"/>
      <c r="C47" s="134"/>
      <c r="D47" s="134"/>
      <c r="E47" s="134"/>
      <c r="F47" s="134"/>
      <c r="G47" s="135"/>
      <c r="H47" s="136"/>
      <c r="I47" s="137"/>
      <c r="J47" s="136"/>
      <c r="K47" s="132"/>
      <c r="L47" s="133"/>
      <c r="M47" s="134"/>
      <c r="N47" s="134"/>
      <c r="O47" s="134"/>
      <c r="P47" s="134"/>
      <c r="Q47" s="135"/>
      <c r="R47" s="136"/>
      <c r="S47" s="137"/>
      <c r="T47" s="129"/>
      <c r="U47" s="130"/>
      <c r="V47" s="131"/>
      <c r="W47" s="130"/>
    </row>
    <row r="48" spans="1:24" s="437" customFormat="1" x14ac:dyDescent="0.35">
      <c r="A48" s="126" t="s">
        <v>196</v>
      </c>
      <c r="B48" s="447"/>
      <c r="C48" s="448">
        <v>60720647.905163638</v>
      </c>
      <c r="D48" s="448">
        <v>384408.94030586153</v>
      </c>
      <c r="E48" s="448">
        <v>323554.9992776094</v>
      </c>
      <c r="F48" s="448">
        <v>827039.16808631131</v>
      </c>
      <c r="G48" s="449">
        <f>SUM(C48:F48)</f>
        <v>62255651.012833416</v>
      </c>
      <c r="H48" s="124">
        <v>36</v>
      </c>
      <c r="I48" s="125" t="s">
        <v>222</v>
      </c>
      <c r="J48" s="450">
        <f>SUM(G48/H48)</f>
        <v>1729323.6392453727</v>
      </c>
      <c r="K48" s="126" t="s">
        <v>196</v>
      </c>
      <c r="L48" s="447"/>
      <c r="M48" s="448">
        <v>45865872.898430601</v>
      </c>
      <c r="N48" s="448">
        <v>142298.10412007602</v>
      </c>
      <c r="O48" s="448">
        <v>493048.86652194517</v>
      </c>
      <c r="P48" s="448">
        <v>112555.64750769491</v>
      </c>
      <c r="Q48" s="449">
        <f>SUM(M48:P48)</f>
        <v>46613775.516580321</v>
      </c>
      <c r="R48" s="124">
        <v>14</v>
      </c>
      <c r="S48" s="125" t="s">
        <v>222</v>
      </c>
      <c r="T48" s="450">
        <f>SUM(Q48/R48)</f>
        <v>3329555.3940414516</v>
      </c>
      <c r="U48" s="451">
        <f>SUM(Q48-G48)*100/G48</f>
        <v>-25.125229985995439</v>
      </c>
      <c r="V48" s="451">
        <f>SUM(R48-H48)*100/H48</f>
        <v>-61.111111111111114</v>
      </c>
      <c r="W48" s="452">
        <f>SUM(T48-J48)*100/J48</f>
        <v>92.535122893154579</v>
      </c>
    </row>
    <row r="49" spans="1:23" ht="18" customHeight="1" x14ac:dyDescent="0.35">
      <c r="A49" s="136"/>
      <c r="B49" s="136"/>
      <c r="C49" s="138"/>
      <c r="D49" s="138"/>
      <c r="E49" s="138"/>
      <c r="F49" s="138"/>
      <c r="G49" s="138"/>
      <c r="H49" s="136"/>
      <c r="I49" s="136"/>
      <c r="J49" s="136"/>
      <c r="K49" s="136"/>
      <c r="L49" s="136"/>
      <c r="M49" s="138"/>
      <c r="N49" s="138"/>
      <c r="O49" s="138"/>
      <c r="P49" s="138"/>
      <c r="Q49" s="138"/>
      <c r="R49" s="136"/>
      <c r="S49" s="136"/>
      <c r="T49" s="129"/>
      <c r="U49" s="130"/>
      <c r="V49" s="138"/>
      <c r="W49" s="131"/>
    </row>
    <row r="50" spans="1:23" x14ac:dyDescent="0.35">
      <c r="A50" s="126" t="s">
        <v>276</v>
      </c>
      <c r="B50" s="127"/>
      <c r="C50" s="128">
        <v>8799650</v>
      </c>
      <c r="D50" s="134">
        <v>0</v>
      </c>
      <c r="E50" s="134">
        <v>0</v>
      </c>
      <c r="F50" s="134">
        <v>0</v>
      </c>
      <c r="G50" s="123">
        <f>SUM(C50:F50)</f>
        <v>8799650</v>
      </c>
      <c r="H50" s="124">
        <v>6660</v>
      </c>
      <c r="I50" s="139" t="s">
        <v>270</v>
      </c>
      <c r="J50" s="129">
        <f>SUM(G50/H50)</f>
        <v>1321.2687687687687</v>
      </c>
      <c r="K50" s="126"/>
      <c r="L50" s="127"/>
      <c r="M50" s="128"/>
      <c r="N50" s="134"/>
      <c r="O50" s="134"/>
      <c r="P50" s="134"/>
      <c r="Q50" s="123"/>
      <c r="R50" s="124"/>
      <c r="S50" s="139"/>
      <c r="T50" s="129"/>
      <c r="U50" s="130"/>
      <c r="V50" s="138"/>
      <c r="W50" s="138"/>
    </row>
    <row r="51" spans="1:23" ht="18" customHeight="1" x14ac:dyDescent="0.35">
      <c r="A51" s="126"/>
      <c r="B51" s="127"/>
      <c r="C51" s="128"/>
      <c r="D51" s="134"/>
      <c r="E51" s="134"/>
      <c r="F51" s="134"/>
      <c r="G51" s="123"/>
      <c r="H51" s="124"/>
      <c r="I51" s="125"/>
      <c r="J51" s="129"/>
      <c r="K51" s="126"/>
      <c r="L51" s="127"/>
      <c r="M51" s="128"/>
      <c r="N51" s="134"/>
      <c r="O51" s="134"/>
      <c r="P51" s="134"/>
      <c r="Q51" s="123"/>
      <c r="R51" s="124"/>
      <c r="S51" s="125"/>
      <c r="T51" s="129"/>
      <c r="U51" s="130"/>
      <c r="V51" s="138"/>
      <c r="W51" s="138"/>
    </row>
    <row r="52" spans="1:23" ht="21.95" customHeight="1" x14ac:dyDescent="0.35">
      <c r="A52" s="126" t="s">
        <v>289</v>
      </c>
      <c r="B52" s="127"/>
      <c r="C52" s="128">
        <v>10420</v>
      </c>
      <c r="D52" s="134">
        <v>0</v>
      </c>
      <c r="E52" s="134">
        <v>0</v>
      </c>
      <c r="F52" s="134">
        <v>0</v>
      </c>
      <c r="G52" s="123">
        <f>SUM(C52:F52)</f>
        <v>10420</v>
      </c>
      <c r="H52" s="124">
        <v>4202</v>
      </c>
      <c r="I52" s="125" t="s">
        <v>222</v>
      </c>
      <c r="J52" s="129">
        <f>SUM(G52/H52)</f>
        <v>2.4797715373631606</v>
      </c>
      <c r="K52" s="126"/>
      <c r="L52" s="127"/>
      <c r="M52" s="128"/>
      <c r="N52" s="134"/>
      <c r="O52" s="134"/>
      <c r="P52" s="134"/>
      <c r="Q52" s="123"/>
      <c r="R52" s="124"/>
      <c r="S52" s="125"/>
      <c r="T52" s="129"/>
      <c r="U52" s="130"/>
      <c r="V52" s="138"/>
      <c r="W52" s="138"/>
    </row>
    <row r="53" spans="1:23" ht="18" customHeight="1" x14ac:dyDescent="0.35">
      <c r="A53" s="132"/>
      <c r="B53" s="133"/>
      <c r="C53" s="134"/>
      <c r="D53" s="134"/>
      <c r="E53" s="134"/>
      <c r="F53" s="134"/>
      <c r="G53" s="135"/>
      <c r="H53" s="136"/>
      <c r="I53" s="137"/>
      <c r="J53" s="136"/>
      <c r="K53" s="132"/>
      <c r="L53" s="133"/>
      <c r="M53" s="134"/>
      <c r="N53" s="134"/>
      <c r="O53" s="134"/>
      <c r="P53" s="134"/>
      <c r="Q53" s="135"/>
      <c r="R53" s="136"/>
      <c r="S53" s="137"/>
      <c r="T53" s="129"/>
      <c r="U53" s="130"/>
      <c r="V53" s="138"/>
      <c r="W53" s="138"/>
    </row>
    <row r="54" spans="1:23" ht="33.75" customHeight="1" x14ac:dyDescent="0.35">
      <c r="A54" s="126" t="s">
        <v>279</v>
      </c>
      <c r="B54" s="127"/>
      <c r="C54" s="128">
        <v>744307.84317426325</v>
      </c>
      <c r="D54" s="128">
        <v>36785.738974560307</v>
      </c>
      <c r="E54" s="128">
        <v>27572.910557995976</v>
      </c>
      <c r="F54" s="128">
        <v>70660.337987593914</v>
      </c>
      <c r="G54" s="123">
        <f>SUM(C54:F54)</f>
        <v>879326.83069441351</v>
      </c>
      <c r="H54" s="124">
        <v>13</v>
      </c>
      <c r="I54" s="125" t="s">
        <v>222</v>
      </c>
      <c r="J54" s="129">
        <f>SUM(G54/H54)</f>
        <v>67640.525438031807</v>
      </c>
      <c r="K54" s="126"/>
      <c r="L54" s="127"/>
      <c r="M54" s="128"/>
      <c r="N54" s="128"/>
      <c r="O54" s="128"/>
      <c r="P54" s="128"/>
      <c r="Q54" s="123"/>
      <c r="R54" s="124"/>
      <c r="S54" s="125"/>
      <c r="T54" s="129"/>
      <c r="U54" s="130"/>
      <c r="V54" s="138"/>
      <c r="W54" s="138"/>
    </row>
    <row r="55" spans="1:23" ht="18" customHeight="1" x14ac:dyDescent="0.35">
      <c r="A55" s="126"/>
      <c r="B55" s="127"/>
      <c r="C55" s="128"/>
      <c r="D55" s="128"/>
      <c r="E55" s="128"/>
      <c r="F55" s="128"/>
      <c r="G55" s="123"/>
      <c r="H55" s="124"/>
      <c r="I55" s="125"/>
      <c r="J55" s="129"/>
      <c r="K55" s="126"/>
      <c r="L55" s="127"/>
      <c r="M55" s="128"/>
      <c r="N55" s="128"/>
      <c r="O55" s="128"/>
      <c r="P55" s="128"/>
      <c r="Q55" s="123"/>
      <c r="R55" s="124"/>
      <c r="S55" s="125"/>
      <c r="T55" s="129"/>
      <c r="U55" s="130"/>
      <c r="V55" s="138"/>
      <c r="W55" s="138"/>
    </row>
    <row r="56" spans="1:23" ht="31.5" x14ac:dyDescent="0.35">
      <c r="A56" s="126" t="s">
        <v>281</v>
      </c>
      <c r="B56" s="127"/>
      <c r="C56" s="128">
        <v>1170315.5919104794</v>
      </c>
      <c r="D56" s="128">
        <v>1022.6165141383715</v>
      </c>
      <c r="E56" s="128">
        <v>583.28033751048497</v>
      </c>
      <c r="F56" s="128">
        <v>4470.9079891689098</v>
      </c>
      <c r="G56" s="123">
        <f>SUM(C56:F56)</f>
        <v>1176392.3967512972</v>
      </c>
      <c r="H56" s="124">
        <v>1</v>
      </c>
      <c r="I56" s="125" t="s">
        <v>223</v>
      </c>
      <c r="J56" s="129">
        <f>SUM(G56/H56)</f>
        <v>1176392.3967512972</v>
      </c>
      <c r="K56" s="126"/>
      <c r="L56" s="127"/>
      <c r="M56" s="128"/>
      <c r="N56" s="128"/>
      <c r="O56" s="128"/>
      <c r="P56" s="128"/>
      <c r="Q56" s="123"/>
      <c r="R56" s="124"/>
      <c r="S56" s="125"/>
      <c r="T56" s="129"/>
      <c r="U56" s="130"/>
      <c r="V56" s="138"/>
      <c r="W56" s="138"/>
    </row>
    <row r="57" spans="1:23" ht="18" customHeight="1" x14ac:dyDescent="0.35">
      <c r="A57" s="126"/>
      <c r="B57" s="127"/>
      <c r="C57" s="128"/>
      <c r="D57" s="128"/>
      <c r="E57" s="128"/>
      <c r="F57" s="128"/>
      <c r="G57" s="123"/>
      <c r="H57" s="124"/>
      <c r="I57" s="125"/>
      <c r="J57" s="129"/>
      <c r="K57" s="126"/>
      <c r="L57" s="127"/>
      <c r="M57" s="128"/>
      <c r="N57" s="128"/>
      <c r="O57" s="128"/>
      <c r="P57" s="128"/>
      <c r="Q57" s="123"/>
      <c r="R57" s="124"/>
      <c r="S57" s="125"/>
      <c r="T57" s="129"/>
      <c r="U57" s="130"/>
      <c r="V57" s="138"/>
      <c r="W57" s="138"/>
    </row>
    <row r="58" spans="1:23" ht="47.25" x14ac:dyDescent="0.35">
      <c r="A58" s="126" t="s">
        <v>277</v>
      </c>
      <c r="B58" s="133"/>
      <c r="C58" s="134">
        <v>4238910</v>
      </c>
      <c r="D58" s="134">
        <v>0</v>
      </c>
      <c r="E58" s="134">
        <v>0</v>
      </c>
      <c r="F58" s="134">
        <v>0</v>
      </c>
      <c r="G58" s="453">
        <v>4238910</v>
      </c>
      <c r="H58" s="518">
        <v>110641</v>
      </c>
      <c r="I58" s="137" t="s">
        <v>224</v>
      </c>
      <c r="J58" s="523">
        <v>38.312289296011421</v>
      </c>
      <c r="K58" s="126" t="s">
        <v>443</v>
      </c>
      <c r="L58" s="133"/>
      <c r="M58" s="134">
        <v>456413.32761642669</v>
      </c>
      <c r="N58" s="134">
        <v>203191.41888922377</v>
      </c>
      <c r="O58" s="134">
        <v>64350.330178702046</v>
      </c>
      <c r="P58" s="134">
        <v>89252.021814784923</v>
      </c>
      <c r="Q58" s="464">
        <f>SUM(M58:P58)</f>
        <v>813207.09849913744</v>
      </c>
      <c r="R58" s="518">
        <v>100000</v>
      </c>
      <c r="S58" s="137" t="s">
        <v>222</v>
      </c>
      <c r="T58" s="129">
        <f>SUM(Q58/R58)</f>
        <v>8.1320709849913744</v>
      </c>
      <c r="U58" s="454"/>
      <c r="V58" s="454"/>
      <c r="W58" s="454"/>
    </row>
    <row r="59" spans="1:23" ht="18" customHeight="1" x14ac:dyDescent="0.35">
      <c r="A59" s="126"/>
      <c r="B59" s="133"/>
      <c r="C59" s="134"/>
      <c r="D59" s="134"/>
      <c r="E59" s="134"/>
      <c r="F59" s="134"/>
      <c r="G59" s="135"/>
      <c r="H59" s="136"/>
      <c r="I59" s="137"/>
      <c r="J59" s="136"/>
      <c r="K59" s="126"/>
      <c r="L59" s="133"/>
      <c r="M59" s="134"/>
      <c r="N59" s="134"/>
      <c r="O59" s="134"/>
      <c r="P59" s="134"/>
      <c r="Q59" s="464"/>
      <c r="R59" s="136"/>
      <c r="S59" s="137"/>
      <c r="T59" s="129"/>
      <c r="U59" s="130"/>
      <c r="V59" s="138"/>
      <c r="W59" s="138"/>
    </row>
    <row r="60" spans="1:23" ht="31.5" x14ac:dyDescent="0.35">
      <c r="A60" s="126"/>
      <c r="B60" s="133"/>
      <c r="C60" s="134"/>
      <c r="D60" s="134"/>
      <c r="E60" s="134"/>
      <c r="F60" s="134"/>
      <c r="G60" s="135"/>
      <c r="H60" s="136"/>
      <c r="I60" s="137"/>
      <c r="J60" s="136"/>
      <c r="K60" s="126" t="s">
        <v>463</v>
      </c>
      <c r="L60" s="133"/>
      <c r="M60" s="134">
        <v>300187.56781877077</v>
      </c>
      <c r="N60" s="134">
        <v>36192.535331915817</v>
      </c>
      <c r="O60" s="134">
        <v>125403.55777964956</v>
      </c>
      <c r="P60" s="134">
        <v>28627.74788476032</v>
      </c>
      <c r="Q60" s="464">
        <f>SUM(M60:P60)</f>
        <v>490411.40881509648</v>
      </c>
      <c r="R60" s="136">
        <v>1</v>
      </c>
      <c r="S60" s="137" t="s">
        <v>222</v>
      </c>
      <c r="T60" s="129">
        <f>SUM(Q60/R60)</f>
        <v>490411.40881509648</v>
      </c>
      <c r="U60" s="130"/>
      <c r="V60" s="138"/>
      <c r="W60" s="138"/>
    </row>
    <row r="61" spans="1:23" ht="18" customHeight="1" x14ac:dyDescent="0.35">
      <c r="A61" s="126"/>
      <c r="B61" s="133"/>
      <c r="C61" s="134"/>
      <c r="D61" s="134"/>
      <c r="E61" s="134"/>
      <c r="F61" s="134"/>
      <c r="G61" s="135"/>
      <c r="H61" s="136"/>
      <c r="I61" s="137"/>
      <c r="J61" s="136"/>
      <c r="K61" s="126"/>
      <c r="L61" s="133"/>
      <c r="M61" s="134"/>
      <c r="N61" s="134"/>
      <c r="O61" s="134"/>
      <c r="P61" s="134"/>
      <c r="Q61" s="464"/>
      <c r="R61" s="136"/>
      <c r="S61" s="137"/>
      <c r="T61" s="129"/>
      <c r="U61" s="130"/>
      <c r="V61" s="138"/>
      <c r="W61" s="138"/>
    </row>
    <row r="62" spans="1:23" ht="19.5" customHeight="1" x14ac:dyDescent="0.35">
      <c r="A62" s="126"/>
      <c r="B62" s="133"/>
      <c r="C62" s="134"/>
      <c r="D62" s="134"/>
      <c r="E62" s="134"/>
      <c r="F62" s="134"/>
      <c r="G62" s="135"/>
      <c r="H62" s="136"/>
      <c r="I62" s="137"/>
      <c r="J62" s="136"/>
      <c r="K62" s="126" t="s">
        <v>464</v>
      </c>
      <c r="L62" s="133"/>
      <c r="M62" s="134">
        <v>8836387.090337079</v>
      </c>
      <c r="N62" s="134">
        <v>1236398.2347228311</v>
      </c>
      <c r="O62" s="134">
        <v>151976.13169477449</v>
      </c>
      <c r="P62" s="134">
        <v>351058.4987918617</v>
      </c>
      <c r="Q62" s="464">
        <f>SUM(M62:P62)</f>
        <v>10575819.955546547</v>
      </c>
      <c r="R62" s="518">
        <v>263905</v>
      </c>
      <c r="S62" s="137" t="s">
        <v>224</v>
      </c>
      <c r="T62" s="129">
        <f>SUM(Q62/R62)</f>
        <v>40.074344766285392</v>
      </c>
      <c r="U62" s="130"/>
      <c r="V62" s="138"/>
      <c r="W62" s="138"/>
    </row>
    <row r="63" spans="1:23" ht="18" customHeight="1" x14ac:dyDescent="0.35">
      <c r="A63" s="126"/>
      <c r="B63" s="133"/>
      <c r="C63" s="134"/>
      <c r="D63" s="134"/>
      <c r="E63" s="134"/>
      <c r="F63" s="134"/>
      <c r="G63" s="135"/>
      <c r="H63" s="136"/>
      <c r="I63" s="137"/>
      <c r="J63" s="136"/>
      <c r="K63" s="126"/>
      <c r="L63" s="133"/>
      <c r="M63" s="134"/>
      <c r="N63" s="134"/>
      <c r="O63" s="134"/>
      <c r="P63" s="134"/>
      <c r="Q63" s="464"/>
      <c r="R63" s="136"/>
      <c r="S63" s="137"/>
      <c r="T63" s="129"/>
      <c r="U63" s="130"/>
      <c r="V63" s="138"/>
      <c r="W63" s="138"/>
    </row>
    <row r="64" spans="1:23" s="437" customFormat="1" ht="35.25" customHeight="1" x14ac:dyDescent="0.35">
      <c r="A64" s="126" t="s">
        <v>280</v>
      </c>
      <c r="B64" s="447"/>
      <c r="C64" s="448">
        <v>2172779.2523662494</v>
      </c>
      <c r="D64" s="448">
        <v>18662.751383025279</v>
      </c>
      <c r="E64" s="448">
        <v>10644.866159566349</v>
      </c>
      <c r="F64" s="448">
        <v>81594.070802332601</v>
      </c>
      <c r="G64" s="449">
        <f>SUM(C64:F64)</f>
        <v>2283680.9407111732</v>
      </c>
      <c r="H64" s="124">
        <v>13</v>
      </c>
      <c r="I64" s="125" t="s">
        <v>222</v>
      </c>
      <c r="J64" s="450">
        <f>SUM(G64/H64)</f>
        <v>175667.76467009026</v>
      </c>
      <c r="K64" s="126" t="s">
        <v>197</v>
      </c>
      <c r="L64" s="447"/>
      <c r="M64" s="448">
        <v>4486780.5357462</v>
      </c>
      <c r="N64" s="448">
        <v>637355.97100339015</v>
      </c>
      <c r="O64" s="448">
        <v>167873.84338270634</v>
      </c>
      <c r="P64" s="448">
        <v>185616.00856034658</v>
      </c>
      <c r="Q64" s="449">
        <f>SUM(M64:P64)</f>
        <v>5477626.3586926423</v>
      </c>
      <c r="R64" s="124">
        <v>4</v>
      </c>
      <c r="S64" s="125" t="s">
        <v>222</v>
      </c>
      <c r="T64" s="450">
        <f>SUM(Q64/R64)</f>
        <v>1369406.5896731606</v>
      </c>
      <c r="U64" s="451">
        <f>SUM(Q64-G64)*100/G64</f>
        <v>139.859529457159</v>
      </c>
      <c r="V64" s="451">
        <f>SUM(R64-H64)*100/H64</f>
        <v>-69.230769230769226</v>
      </c>
      <c r="W64" s="452">
        <f>SUM(T64-J64)*100/J64</f>
        <v>679.54347073576662</v>
      </c>
    </row>
    <row r="65" spans="1:23" ht="18" customHeight="1" x14ac:dyDescent="0.35">
      <c r="A65" s="132"/>
      <c r="B65" s="133"/>
      <c r="C65" s="134"/>
      <c r="D65" s="134"/>
      <c r="E65" s="134"/>
      <c r="F65" s="134"/>
      <c r="G65" s="135"/>
      <c r="H65" s="136"/>
      <c r="I65" s="137"/>
      <c r="J65" s="136"/>
      <c r="K65" s="132"/>
      <c r="L65" s="133"/>
      <c r="M65" s="134"/>
      <c r="N65" s="134"/>
      <c r="O65" s="134"/>
      <c r="P65" s="134"/>
      <c r="Q65" s="135"/>
      <c r="R65" s="136"/>
      <c r="S65" s="137"/>
      <c r="T65" s="129"/>
      <c r="U65" s="130"/>
      <c r="V65" s="138"/>
      <c r="W65" s="138"/>
    </row>
    <row r="66" spans="1:23" ht="31.5" x14ac:dyDescent="0.35">
      <c r="A66" s="126" t="s">
        <v>286</v>
      </c>
      <c r="B66" s="127">
        <v>480000</v>
      </c>
      <c r="C66" s="128">
        <f>95765.3433733559+480000</f>
        <v>575765.34337335592</v>
      </c>
      <c r="D66" s="128">
        <v>7158.3155989686011</v>
      </c>
      <c r="E66" s="128">
        <v>4082.9623625733943</v>
      </c>
      <c r="F66" s="128">
        <v>31296.355924182371</v>
      </c>
      <c r="G66" s="123">
        <f>SUM(C66:F66)</f>
        <v>618302.97725908027</v>
      </c>
      <c r="H66" s="124">
        <v>12</v>
      </c>
      <c r="I66" s="125" t="s">
        <v>222</v>
      </c>
      <c r="J66" s="129">
        <f>SUM(G66/H66)</f>
        <v>51525.248104923354</v>
      </c>
      <c r="K66" s="126" t="s">
        <v>442</v>
      </c>
      <c r="L66" s="127">
        <v>480000</v>
      </c>
      <c r="M66" s="128">
        <v>1443969.112473859</v>
      </c>
      <c r="N66" s="128">
        <v>979943.92094779294</v>
      </c>
      <c r="O66" s="128">
        <v>231880.56538863046</v>
      </c>
      <c r="P66" s="128">
        <v>307885.54041445121</v>
      </c>
      <c r="Q66" s="123">
        <f>SUM(M66:P66)</f>
        <v>2963679.1392247337</v>
      </c>
      <c r="R66" s="124">
        <v>12</v>
      </c>
      <c r="S66" s="125" t="s">
        <v>222</v>
      </c>
      <c r="T66" s="129">
        <f t="shared" si="0"/>
        <v>246973.26160206113</v>
      </c>
      <c r="U66" s="454">
        <f>SUM(Q66-G66)*100/G66</f>
        <v>379.3247401723084</v>
      </c>
      <c r="V66" s="454">
        <f>SUM(R66-H66)*100/H66</f>
        <v>0</v>
      </c>
      <c r="W66" s="452">
        <f>SUM(T66-J66)*100/J66</f>
        <v>379.32474017230845</v>
      </c>
    </row>
    <row r="67" spans="1:23" ht="18" customHeight="1" x14ac:dyDescent="0.35">
      <c r="A67" s="126"/>
      <c r="B67" s="127"/>
      <c r="C67" s="128"/>
      <c r="D67" s="128"/>
      <c r="E67" s="128"/>
      <c r="F67" s="128"/>
      <c r="G67" s="123"/>
      <c r="H67" s="124"/>
      <c r="I67" s="125"/>
      <c r="J67" s="129"/>
      <c r="K67" s="126"/>
      <c r="L67" s="127"/>
      <c r="M67" s="128"/>
      <c r="N67" s="128"/>
      <c r="O67" s="128"/>
      <c r="P67" s="128"/>
      <c r="Q67" s="123"/>
      <c r="R67" s="124"/>
      <c r="S67" s="125"/>
      <c r="T67" s="129"/>
      <c r="U67" s="130"/>
      <c r="V67" s="138"/>
      <c r="W67" s="138"/>
    </row>
    <row r="68" spans="1:23" ht="21.95" customHeight="1" x14ac:dyDescent="0.35">
      <c r="A68" s="126" t="s">
        <v>273</v>
      </c>
      <c r="B68" s="127">
        <v>341410280.10000002</v>
      </c>
      <c r="C68" s="128">
        <f>18048395.1921639+341410280.1</f>
        <v>359458675.29216391</v>
      </c>
      <c r="D68" s="128">
        <v>1355716.7439945675</v>
      </c>
      <c r="E68" s="128">
        <v>1043999.2943564546</v>
      </c>
      <c r="F68" s="128">
        <v>2645178.3248158409</v>
      </c>
      <c r="G68" s="123">
        <f>SUM(C68:F68)</f>
        <v>364503569.65533084</v>
      </c>
      <c r="H68" s="124">
        <v>216368</v>
      </c>
      <c r="I68" s="125" t="s">
        <v>224</v>
      </c>
      <c r="J68" s="129">
        <f>SUM(G68/H68)</f>
        <v>1684.6463878916052</v>
      </c>
      <c r="K68" s="126" t="s">
        <v>198</v>
      </c>
      <c r="L68" s="127">
        <v>341410280.10000002</v>
      </c>
      <c r="M68" s="128">
        <v>324389672.40240359</v>
      </c>
      <c r="N68" s="128">
        <v>5511628.7300373437</v>
      </c>
      <c r="O68" s="128">
        <v>677480.75838739332</v>
      </c>
      <c r="P68" s="128">
        <v>1564952.1760266512</v>
      </c>
      <c r="Q68" s="123">
        <f>SUM(M68:P68)</f>
        <v>332143734.06685495</v>
      </c>
      <c r="R68" s="124">
        <v>208050</v>
      </c>
      <c r="S68" s="125" t="s">
        <v>224</v>
      </c>
      <c r="T68" s="129">
        <f t="shared" si="0"/>
        <v>1596.4611106313625</v>
      </c>
      <c r="U68" s="454">
        <f>SUM(Q68-G68)*100/G68</f>
        <v>-8.8777829032167954</v>
      </c>
      <c r="V68" s="454">
        <f>SUM(R68-H68)*100/H68</f>
        <v>-3.8443762478739925</v>
      </c>
      <c r="W68" s="454">
        <f>SUM(T68-J68)*100/J68</f>
        <v>-5.2346461485374167</v>
      </c>
    </row>
    <row r="69" spans="1:23" ht="18" customHeight="1" x14ac:dyDescent="0.35">
      <c r="A69" s="126"/>
      <c r="B69" s="127"/>
      <c r="C69" s="128"/>
      <c r="D69" s="128"/>
      <c r="E69" s="128"/>
      <c r="F69" s="128"/>
      <c r="G69" s="123"/>
      <c r="H69" s="124"/>
      <c r="I69" s="125"/>
      <c r="J69" s="129"/>
      <c r="K69" s="126"/>
      <c r="L69" s="127"/>
      <c r="M69" s="128"/>
      <c r="N69" s="128"/>
      <c r="O69" s="128"/>
      <c r="P69" s="128"/>
      <c r="Q69" s="123"/>
      <c r="R69" s="124"/>
      <c r="S69" s="125"/>
      <c r="T69" s="129"/>
      <c r="U69" s="130"/>
      <c r="V69" s="131"/>
      <c r="W69" s="131"/>
    </row>
    <row r="70" spans="1:23" ht="31.5" x14ac:dyDescent="0.35">
      <c r="A70" s="126" t="s">
        <v>278</v>
      </c>
      <c r="B70" s="127"/>
      <c r="C70" s="128">
        <v>3080</v>
      </c>
      <c r="D70" s="134">
        <v>0</v>
      </c>
      <c r="E70" s="134">
        <v>0</v>
      </c>
      <c r="F70" s="134">
        <v>0</v>
      </c>
      <c r="G70" s="123">
        <f>SUM(C70:F70)</f>
        <v>3080</v>
      </c>
      <c r="H70" s="124">
        <v>1</v>
      </c>
      <c r="I70" s="125" t="s">
        <v>222</v>
      </c>
      <c r="J70" s="129">
        <f>SUM(G70/H70)</f>
        <v>3080</v>
      </c>
      <c r="K70" s="126"/>
      <c r="L70" s="127"/>
      <c r="M70" s="128"/>
      <c r="N70" s="134"/>
      <c r="O70" s="134"/>
      <c r="P70" s="134"/>
      <c r="Q70" s="123"/>
      <c r="R70" s="124"/>
      <c r="S70" s="125"/>
      <c r="T70" s="129"/>
      <c r="U70" s="130"/>
      <c r="V70" s="138"/>
      <c r="W70" s="138"/>
    </row>
    <row r="71" spans="1:23" ht="18" customHeight="1" x14ac:dyDescent="0.35">
      <c r="A71" s="126"/>
      <c r="B71" s="127"/>
      <c r="C71" s="128"/>
      <c r="D71" s="134"/>
      <c r="E71" s="134"/>
      <c r="F71" s="134"/>
      <c r="G71" s="123"/>
      <c r="H71" s="124"/>
      <c r="I71" s="125"/>
      <c r="J71" s="129"/>
      <c r="K71" s="126"/>
      <c r="L71" s="127"/>
      <c r="M71" s="128"/>
      <c r="N71" s="134"/>
      <c r="O71" s="134"/>
      <c r="P71" s="134"/>
      <c r="Q71" s="123"/>
      <c r="R71" s="124"/>
      <c r="S71" s="125"/>
      <c r="T71" s="129"/>
      <c r="U71" s="130"/>
      <c r="V71" s="138"/>
      <c r="W71" s="138"/>
    </row>
    <row r="72" spans="1:23" ht="31.5" x14ac:dyDescent="0.35">
      <c r="A72" s="126" t="s">
        <v>274</v>
      </c>
      <c r="B72" s="127"/>
      <c r="C72" s="128">
        <v>126749.17551580374</v>
      </c>
      <c r="D72" s="128">
        <v>28377.608267339812</v>
      </c>
      <c r="E72" s="128">
        <v>16186.029365915958</v>
      </c>
      <c r="F72" s="128">
        <v>124067.69669943726</v>
      </c>
      <c r="G72" s="123">
        <f>SUM(C72:F72)</f>
        <v>295380.50984849676</v>
      </c>
      <c r="H72" s="124">
        <v>7</v>
      </c>
      <c r="I72" s="125" t="s">
        <v>222</v>
      </c>
      <c r="J72" s="129">
        <f>SUM(G72/H72)</f>
        <v>42197.215692642392</v>
      </c>
      <c r="K72" s="126" t="s">
        <v>274</v>
      </c>
      <c r="L72" s="127"/>
      <c r="M72" s="128">
        <v>351478.03728016751</v>
      </c>
      <c r="N72" s="128">
        <v>42990.72857661506</v>
      </c>
      <c r="O72" s="128">
        <v>148958.62546254508</v>
      </c>
      <c r="P72" s="128">
        <v>34005.015890340212</v>
      </c>
      <c r="Q72" s="123">
        <f>SUM(M72:P72)</f>
        <v>577432.40720966784</v>
      </c>
      <c r="R72" s="124">
        <v>18368</v>
      </c>
      <c r="S72" s="125" t="s">
        <v>224</v>
      </c>
      <c r="T72" s="129">
        <f t="shared" si="0"/>
        <v>31.436868859411359</v>
      </c>
      <c r="U72" s="454"/>
      <c r="V72" s="130"/>
      <c r="W72" s="454"/>
    </row>
    <row r="73" spans="1:23" ht="18" customHeight="1" x14ac:dyDescent="0.35">
      <c r="A73" s="126"/>
      <c r="B73" s="127"/>
      <c r="C73" s="128"/>
      <c r="D73" s="128"/>
      <c r="E73" s="128"/>
      <c r="F73" s="128"/>
      <c r="G73" s="123"/>
      <c r="H73" s="124"/>
      <c r="I73" s="125"/>
      <c r="J73" s="129"/>
      <c r="K73" s="126"/>
      <c r="L73" s="127"/>
      <c r="M73" s="128"/>
      <c r="N73" s="128"/>
      <c r="O73" s="128"/>
      <c r="P73" s="128"/>
      <c r="Q73" s="123"/>
      <c r="R73" s="124"/>
      <c r="S73" s="125"/>
      <c r="T73" s="129"/>
      <c r="U73" s="130"/>
      <c r="V73" s="138"/>
      <c r="W73" s="138"/>
    </row>
    <row r="74" spans="1:23" ht="31.5" x14ac:dyDescent="0.35">
      <c r="A74" s="126"/>
      <c r="B74" s="127"/>
      <c r="C74" s="128"/>
      <c r="D74" s="128"/>
      <c r="E74" s="128"/>
      <c r="F74" s="128"/>
      <c r="G74" s="123"/>
      <c r="H74" s="124"/>
      <c r="I74" s="125"/>
      <c r="J74" s="129"/>
      <c r="K74" s="126" t="s">
        <v>452</v>
      </c>
      <c r="L74" s="127"/>
      <c r="M74" s="128">
        <v>4174650</v>
      </c>
      <c r="N74" s="128">
        <v>0</v>
      </c>
      <c r="O74" s="128">
        <v>0</v>
      </c>
      <c r="P74" s="128">
        <v>0</v>
      </c>
      <c r="Q74" s="123">
        <f>SUM(M74:P74)</f>
        <v>4174650</v>
      </c>
      <c r="R74" s="124">
        <v>3544</v>
      </c>
      <c r="S74" s="125" t="s">
        <v>224</v>
      </c>
      <c r="T74" s="129">
        <f>SUM(Q74/R74)</f>
        <v>1177.9486455981942</v>
      </c>
      <c r="U74" s="130"/>
      <c r="V74" s="138"/>
      <c r="W74" s="138"/>
    </row>
    <row r="75" spans="1:23" ht="18" customHeight="1" x14ac:dyDescent="0.35">
      <c r="A75" s="126"/>
      <c r="B75" s="127"/>
      <c r="C75" s="128"/>
      <c r="D75" s="128"/>
      <c r="E75" s="128"/>
      <c r="F75" s="128"/>
      <c r="G75" s="123"/>
      <c r="H75" s="124"/>
      <c r="I75" s="125"/>
      <c r="J75" s="129"/>
      <c r="K75" s="126"/>
      <c r="L75" s="127"/>
      <c r="M75" s="128"/>
      <c r="N75" s="128"/>
      <c r="O75" s="128"/>
      <c r="P75" s="128"/>
      <c r="Q75" s="123"/>
      <c r="R75" s="124"/>
      <c r="S75" s="125"/>
      <c r="T75" s="129"/>
      <c r="U75" s="130"/>
      <c r="V75" s="138"/>
      <c r="W75" s="138"/>
    </row>
    <row r="76" spans="1:23" ht="31.5" x14ac:dyDescent="0.35">
      <c r="A76" s="126" t="s">
        <v>283</v>
      </c>
      <c r="B76" s="127">
        <f>6631900</f>
        <v>6631900</v>
      </c>
      <c r="C76" s="128">
        <f>190265.39797762+6631900</f>
        <v>6822165.3979776204</v>
      </c>
      <c r="D76" s="128">
        <v>255.65412853459287</v>
      </c>
      <c r="E76" s="128">
        <v>145.82008437762124</v>
      </c>
      <c r="F76" s="128">
        <v>1117.7269972922275</v>
      </c>
      <c r="G76" s="123">
        <f>SUM(C76:F76)</f>
        <v>6823684.5991878249</v>
      </c>
      <c r="H76" s="124">
        <v>153879</v>
      </c>
      <c r="I76" s="125" t="s">
        <v>224</v>
      </c>
      <c r="J76" s="129">
        <f>SUM(G76/H76)</f>
        <v>44.344482347739621</v>
      </c>
      <c r="K76" s="126" t="s">
        <v>441</v>
      </c>
      <c r="L76" s="127"/>
      <c r="M76" s="128">
        <v>2405804.6410329798</v>
      </c>
      <c r="N76" s="128">
        <v>818796.40803352185</v>
      </c>
      <c r="O76" s="128">
        <v>576810.91271512955</v>
      </c>
      <c r="P76" s="128">
        <v>352321.26968249248</v>
      </c>
      <c r="Q76" s="123">
        <f>SUM(M76:P76)</f>
        <v>4153733.2314641238</v>
      </c>
      <c r="R76" s="124">
        <v>3</v>
      </c>
      <c r="S76" s="125" t="s">
        <v>222</v>
      </c>
      <c r="T76" s="129">
        <f>SUM(Q76/R76)</f>
        <v>1384577.7438213746</v>
      </c>
      <c r="U76" s="454"/>
      <c r="V76" s="131"/>
      <c r="W76" s="131"/>
    </row>
    <row r="77" spans="1:23" ht="18" customHeight="1" x14ac:dyDescent="0.35">
      <c r="A77" s="126"/>
      <c r="B77" s="127"/>
      <c r="C77" s="128"/>
      <c r="D77" s="128"/>
      <c r="E77" s="128"/>
      <c r="F77" s="128"/>
      <c r="G77" s="123"/>
      <c r="H77" s="124"/>
      <c r="I77" s="125"/>
      <c r="J77" s="129"/>
      <c r="K77" s="126"/>
      <c r="L77" s="127"/>
      <c r="M77" s="128"/>
      <c r="N77" s="128"/>
      <c r="O77" s="128"/>
      <c r="P77" s="128"/>
      <c r="Q77" s="123"/>
      <c r="R77" s="124"/>
      <c r="S77" s="125"/>
      <c r="T77" s="129"/>
      <c r="U77" s="130"/>
      <c r="V77" s="138"/>
      <c r="W77" s="131"/>
    </row>
    <row r="78" spans="1:23" ht="31.5" x14ac:dyDescent="0.35">
      <c r="A78" s="126" t="s">
        <v>334</v>
      </c>
      <c r="B78" s="127">
        <f>2122458.07+19500+14483.52+34000+57352+8280+12240800.34+198497+200000</f>
        <v>14895370.93</v>
      </c>
      <c r="C78" s="128">
        <f>250509.500903373+14895370.93</f>
        <v>15145880.430903373</v>
      </c>
      <c r="D78" s="128">
        <v>12527.052298195051</v>
      </c>
      <c r="E78" s="128">
        <v>7145.18413450344</v>
      </c>
      <c r="F78" s="128">
        <v>54768.622867319144</v>
      </c>
      <c r="G78" s="123">
        <f>SUM(C78:F78)</f>
        <v>15220321.290203393</v>
      </c>
      <c r="H78" s="124">
        <v>7</v>
      </c>
      <c r="I78" s="125" t="s">
        <v>335</v>
      </c>
      <c r="J78" s="129">
        <f>SUM(G78/H78)</f>
        <v>2174331.6128861988</v>
      </c>
      <c r="K78" s="126" t="s">
        <v>451</v>
      </c>
      <c r="L78" s="127">
        <f>2122458.07+19500+14483.52+34000+57352+8280+12240800.34+198497+200000</f>
        <v>14895370.93</v>
      </c>
      <c r="M78" s="128">
        <v>169956.08276599005</v>
      </c>
      <c r="N78" s="128">
        <v>20497.263050993726</v>
      </c>
      <c r="O78" s="128">
        <v>71020.990592866117</v>
      </c>
      <c r="P78" s="128">
        <v>16213.024966891713</v>
      </c>
      <c r="Q78" s="123">
        <f>SUM(M78:P78)</f>
        <v>277687.36137674161</v>
      </c>
      <c r="R78" s="124">
        <v>12</v>
      </c>
      <c r="S78" s="125" t="s">
        <v>222</v>
      </c>
      <c r="T78" s="129">
        <f t="shared" ref="T78:T102" si="1">SUM(Q78/R78)</f>
        <v>23140.613448061802</v>
      </c>
      <c r="U78" s="454"/>
      <c r="V78" s="131"/>
      <c r="W78" s="130"/>
    </row>
    <row r="79" spans="1:23" ht="18" customHeight="1" x14ac:dyDescent="0.35">
      <c r="A79" s="126"/>
      <c r="B79" s="127"/>
      <c r="C79" s="128"/>
      <c r="D79" s="128"/>
      <c r="E79" s="128"/>
      <c r="F79" s="128"/>
      <c r="G79" s="123"/>
      <c r="H79" s="124"/>
      <c r="I79" s="125"/>
      <c r="J79" s="129"/>
      <c r="K79" s="126"/>
      <c r="L79" s="127"/>
      <c r="M79" s="128"/>
      <c r="N79" s="128"/>
      <c r="O79" s="128"/>
      <c r="P79" s="128"/>
      <c r="Q79" s="123"/>
      <c r="R79" s="124"/>
      <c r="S79" s="125"/>
      <c r="T79" s="129"/>
      <c r="U79" s="130"/>
      <c r="V79" s="138"/>
      <c r="W79" s="130"/>
    </row>
    <row r="80" spans="1:23" ht="31.5" x14ac:dyDescent="0.35">
      <c r="A80" s="126" t="s">
        <v>275</v>
      </c>
      <c r="B80" s="127"/>
      <c r="C80" s="128">
        <v>233384.98907164313</v>
      </c>
      <c r="D80" s="128">
        <v>38725.392610259812</v>
      </c>
      <c r="E80" s="128">
        <v>27213.835006461875</v>
      </c>
      <c r="F80" s="128">
        <v>71549.072941461898</v>
      </c>
      <c r="G80" s="123">
        <f>SUM(C80:F80)</f>
        <v>370873.28962982667</v>
      </c>
      <c r="H80" s="124">
        <v>75</v>
      </c>
      <c r="I80" s="125" t="s">
        <v>224</v>
      </c>
      <c r="J80" s="129"/>
      <c r="K80" s="126"/>
      <c r="L80" s="127"/>
      <c r="M80" s="128"/>
      <c r="N80" s="128"/>
      <c r="O80" s="128"/>
      <c r="P80" s="128"/>
      <c r="Q80" s="123"/>
      <c r="R80" s="124"/>
      <c r="S80" s="125"/>
      <c r="T80" s="129"/>
      <c r="U80" s="130"/>
      <c r="V80" s="138"/>
      <c r="W80" s="138"/>
    </row>
    <row r="81" spans="1:24" ht="18" customHeight="1" x14ac:dyDescent="0.35">
      <c r="A81" s="136"/>
      <c r="B81" s="136"/>
      <c r="C81" s="138"/>
      <c r="D81" s="138"/>
      <c r="E81" s="138"/>
      <c r="F81" s="138"/>
      <c r="G81" s="138"/>
      <c r="H81" s="136"/>
      <c r="I81" s="136"/>
      <c r="J81" s="136"/>
      <c r="K81" s="136"/>
      <c r="L81" s="136"/>
      <c r="M81" s="138"/>
      <c r="N81" s="138"/>
      <c r="O81" s="138"/>
      <c r="P81" s="138"/>
      <c r="Q81" s="138"/>
      <c r="R81" s="136"/>
      <c r="S81" s="136"/>
      <c r="T81" s="129"/>
      <c r="U81" s="130"/>
      <c r="V81" s="138"/>
      <c r="W81" s="138"/>
    </row>
    <row r="82" spans="1:24" ht="31.5" x14ac:dyDescent="0.35">
      <c r="A82" s="126" t="s">
        <v>284</v>
      </c>
      <c r="B82" s="127"/>
      <c r="C82" s="128">
        <v>3000</v>
      </c>
      <c r="D82" s="134">
        <v>0</v>
      </c>
      <c r="E82" s="134">
        <v>0</v>
      </c>
      <c r="F82" s="134">
        <v>0</v>
      </c>
      <c r="G82" s="123">
        <f>SUM(C82:F82)</f>
        <v>3000</v>
      </c>
      <c r="H82" s="124">
        <v>1</v>
      </c>
      <c r="I82" s="125" t="s">
        <v>222</v>
      </c>
      <c r="J82" s="129">
        <f>SUM(G82/H82)</f>
        <v>3000</v>
      </c>
      <c r="K82" s="126"/>
      <c r="L82" s="127"/>
      <c r="M82" s="128"/>
      <c r="N82" s="134"/>
      <c r="O82" s="134"/>
      <c r="P82" s="134"/>
      <c r="Q82" s="123"/>
      <c r="R82" s="124"/>
      <c r="S82" s="125"/>
      <c r="T82" s="129"/>
      <c r="U82" s="130"/>
      <c r="V82" s="138"/>
      <c r="W82" s="131"/>
    </row>
    <row r="83" spans="1:24" ht="18" customHeight="1" x14ac:dyDescent="0.35">
      <c r="A83" s="126"/>
      <c r="B83" s="127"/>
      <c r="C83" s="128"/>
      <c r="D83" s="134"/>
      <c r="E83" s="134"/>
      <c r="F83" s="134"/>
      <c r="G83" s="123"/>
      <c r="H83" s="124"/>
      <c r="I83" s="125"/>
      <c r="J83" s="129"/>
      <c r="K83" s="126"/>
      <c r="L83" s="127"/>
      <c r="M83" s="128"/>
      <c r="N83" s="134"/>
      <c r="O83" s="134"/>
      <c r="P83" s="134"/>
      <c r="Q83" s="123"/>
      <c r="R83" s="124"/>
      <c r="S83" s="125"/>
      <c r="T83" s="129"/>
      <c r="U83" s="130"/>
      <c r="V83" s="138"/>
      <c r="W83" s="138"/>
    </row>
    <row r="84" spans="1:24" ht="38.25" customHeight="1" x14ac:dyDescent="0.35">
      <c r="A84" s="126" t="s">
        <v>285</v>
      </c>
      <c r="B84" s="127"/>
      <c r="C84" s="128">
        <v>9570.6859249728732</v>
      </c>
      <c r="D84" s="128">
        <v>198203.68111577854</v>
      </c>
      <c r="E84" s="128">
        <v>105418.98666845716</v>
      </c>
      <c r="F84" s="128">
        <v>177622.70859566395</v>
      </c>
      <c r="G84" s="123">
        <f>SUM(C84:F84)</f>
        <v>490816.0623048725</v>
      </c>
      <c r="H84" s="124">
        <v>80</v>
      </c>
      <c r="I84" s="125" t="s">
        <v>224</v>
      </c>
      <c r="J84" s="129">
        <f>SUM(G84/H84)</f>
        <v>6135.2007788109058</v>
      </c>
      <c r="K84" s="126"/>
      <c r="L84" s="127"/>
      <c r="M84" s="128"/>
      <c r="N84" s="128"/>
      <c r="O84" s="128"/>
      <c r="P84" s="128"/>
      <c r="Q84" s="123"/>
      <c r="R84" s="124"/>
      <c r="S84" s="125"/>
      <c r="T84" s="129"/>
      <c r="U84" s="130"/>
      <c r="V84" s="138"/>
      <c r="W84" s="138"/>
    </row>
    <row r="85" spans="1:24" ht="18" customHeight="1" x14ac:dyDescent="0.35">
      <c r="A85" s="132"/>
      <c r="B85" s="133"/>
      <c r="C85" s="134"/>
      <c r="D85" s="134"/>
      <c r="E85" s="134"/>
      <c r="F85" s="134"/>
      <c r="G85" s="135"/>
      <c r="H85" s="136"/>
      <c r="I85" s="137"/>
      <c r="J85" s="136"/>
      <c r="K85" s="132"/>
      <c r="L85" s="133"/>
      <c r="M85" s="134"/>
      <c r="N85" s="134"/>
      <c r="O85" s="134"/>
      <c r="P85" s="134"/>
      <c r="Q85" s="135"/>
      <c r="R85" s="136"/>
      <c r="S85" s="137"/>
      <c r="T85" s="129"/>
      <c r="U85" s="130"/>
      <c r="V85" s="138"/>
      <c r="W85" s="138"/>
    </row>
    <row r="86" spans="1:24" s="437" customFormat="1" ht="21.95" customHeight="1" x14ac:dyDescent="0.35">
      <c r="A86" s="126" t="s">
        <v>199</v>
      </c>
      <c r="B86" s="447">
        <f>58368511.21+15274480</f>
        <v>73642991.210000008</v>
      </c>
      <c r="C86" s="448">
        <f>2698867.75031423+73642991.21</f>
        <v>76341858.960314229</v>
      </c>
      <c r="D86" s="448">
        <v>491055.13297232502</v>
      </c>
      <c r="E86" s="448">
        <v>277879.77278119145</v>
      </c>
      <c r="F86" s="448">
        <v>205226.70911560615</v>
      </c>
      <c r="G86" s="449">
        <f>SUM(C86:F86)</f>
        <v>77316020.575183362</v>
      </c>
      <c r="H86" s="124">
        <v>1200</v>
      </c>
      <c r="I86" s="125" t="s">
        <v>225</v>
      </c>
      <c r="J86" s="450">
        <f>SUM(G86/H86)</f>
        <v>64430.017145986138</v>
      </c>
      <c r="K86" s="126" t="s">
        <v>199</v>
      </c>
      <c r="L86" s="447">
        <f>58368511.21+15274480</f>
        <v>73642991.210000008</v>
      </c>
      <c r="M86" s="448">
        <v>79585719.648803532</v>
      </c>
      <c r="N86" s="448">
        <v>1775374.7946588434</v>
      </c>
      <c r="O86" s="448">
        <v>784866.9379842995</v>
      </c>
      <c r="P86" s="448">
        <v>1906676.3038767152</v>
      </c>
      <c r="Q86" s="449">
        <f>SUM(M86:P86)</f>
        <v>84052637.685323387</v>
      </c>
      <c r="R86" s="124">
        <v>1140</v>
      </c>
      <c r="S86" s="125" t="s">
        <v>225</v>
      </c>
      <c r="T86" s="450">
        <f>SUM(Q86/R86)</f>
        <v>73730.383934494195</v>
      </c>
      <c r="U86" s="451">
        <f>SUM(Q86-G86)*100/G86</f>
        <v>8.7130934313791144</v>
      </c>
      <c r="V86" s="451">
        <f>SUM(R86-H86)*100/H86</f>
        <v>-5</v>
      </c>
      <c r="W86" s="451">
        <f>SUM(T86-J86)*100/J86</f>
        <v>14.434835190925371</v>
      </c>
      <c r="X86" s="522"/>
    </row>
    <row r="87" spans="1:24" ht="18" customHeight="1" x14ac:dyDescent="0.35">
      <c r="A87" s="126"/>
      <c r="B87" s="127"/>
      <c r="C87" s="128"/>
      <c r="D87" s="128"/>
      <c r="E87" s="128"/>
      <c r="F87" s="128"/>
      <c r="G87" s="123"/>
      <c r="H87" s="124"/>
      <c r="I87" s="125"/>
      <c r="J87" s="129"/>
      <c r="K87" s="126"/>
      <c r="L87" s="127"/>
      <c r="M87" s="128"/>
      <c r="N87" s="128"/>
      <c r="O87" s="128"/>
      <c r="P87" s="128"/>
      <c r="Q87" s="123"/>
      <c r="R87" s="124"/>
      <c r="S87" s="125"/>
      <c r="T87" s="129"/>
      <c r="U87" s="130"/>
      <c r="V87" s="138"/>
      <c r="W87" s="131"/>
    </row>
    <row r="88" spans="1:24" s="437" customFormat="1" ht="31.5" x14ac:dyDescent="0.35">
      <c r="A88" s="126" t="s">
        <v>313</v>
      </c>
      <c r="B88" s="447"/>
      <c r="C88" s="448">
        <v>2141425.3466147399</v>
      </c>
      <c r="D88" s="448">
        <v>379087.63121907349</v>
      </c>
      <c r="E88" s="448">
        <v>270009.88496965857</v>
      </c>
      <c r="F88" s="448">
        <v>464302.56979468674</v>
      </c>
      <c r="G88" s="449">
        <f>SUM(C88:F88)</f>
        <v>3254825.4325981587</v>
      </c>
      <c r="H88" s="124">
        <v>340</v>
      </c>
      <c r="I88" s="125" t="s">
        <v>225</v>
      </c>
      <c r="J88" s="450">
        <f>SUM(G88/H88)</f>
        <v>9573.0159782298779</v>
      </c>
      <c r="K88" s="126" t="s">
        <v>438</v>
      </c>
      <c r="L88" s="447"/>
      <c r="M88" s="448">
        <v>5566973.61524106</v>
      </c>
      <c r="N88" s="448">
        <v>3795568.9891363201</v>
      </c>
      <c r="O88" s="448">
        <v>403862.78816061455</v>
      </c>
      <c r="P88" s="448">
        <v>896202.19827928406</v>
      </c>
      <c r="Q88" s="449">
        <f>SUM(M88:P88)</f>
        <v>10662607.590817278</v>
      </c>
      <c r="R88" s="124">
        <v>346</v>
      </c>
      <c r="S88" s="125" t="s">
        <v>225</v>
      </c>
      <c r="T88" s="450">
        <f>SUM(Q88/R88)</f>
        <v>30816.784944558607</v>
      </c>
      <c r="U88" s="451">
        <f>SUM(Q88-G88)*100/G88</f>
        <v>227.59383910509356</v>
      </c>
      <c r="V88" s="451">
        <f>SUM(R88-H88)*100/H88</f>
        <v>1.7647058823529411</v>
      </c>
      <c r="W88" s="452">
        <f>SUM(T88-J88)*100/J88</f>
        <v>221.91302108593013</v>
      </c>
      <c r="X88" s="522"/>
    </row>
    <row r="89" spans="1:24" ht="18" customHeight="1" x14ac:dyDescent="0.35">
      <c r="A89" s="136"/>
      <c r="B89" s="136"/>
      <c r="C89" s="138"/>
      <c r="D89" s="138"/>
      <c r="E89" s="138"/>
      <c r="F89" s="138"/>
      <c r="G89" s="138"/>
      <c r="H89" s="136"/>
      <c r="I89" s="136"/>
      <c r="J89" s="136"/>
      <c r="K89" s="136"/>
      <c r="L89" s="136"/>
      <c r="M89" s="138"/>
      <c r="N89" s="138"/>
      <c r="O89" s="138"/>
      <c r="P89" s="138"/>
      <c r="Q89" s="138"/>
      <c r="R89" s="136"/>
      <c r="S89" s="136"/>
      <c r="T89" s="129"/>
      <c r="U89" s="130"/>
      <c r="V89" s="138"/>
      <c r="W89" s="138"/>
    </row>
    <row r="90" spans="1:24" ht="47.25" x14ac:dyDescent="0.35">
      <c r="A90" s="136"/>
      <c r="B90" s="136"/>
      <c r="C90" s="138"/>
      <c r="D90" s="138"/>
      <c r="E90" s="138"/>
      <c r="F90" s="138"/>
      <c r="G90" s="138"/>
      <c r="H90" s="136"/>
      <c r="I90" s="136"/>
      <c r="J90" s="136"/>
      <c r="K90" s="136" t="s">
        <v>453</v>
      </c>
      <c r="L90" s="136"/>
      <c r="M90" s="130">
        <v>1824394.8242393092</v>
      </c>
      <c r="N90" s="130">
        <v>324385.63016760926</v>
      </c>
      <c r="O90" s="130">
        <v>224182.45351597268</v>
      </c>
      <c r="P90" s="130">
        <v>527729.36714909261</v>
      </c>
      <c r="Q90" s="453">
        <f>SUM(M90:P90)</f>
        <v>2900692.2750719837</v>
      </c>
      <c r="R90" s="136">
        <v>3</v>
      </c>
      <c r="S90" s="137" t="s">
        <v>225</v>
      </c>
      <c r="T90" s="129">
        <f>SUM(Q90/R90)</f>
        <v>966897.42502399452</v>
      </c>
      <c r="U90" s="130"/>
      <c r="V90" s="138"/>
      <c r="W90" s="138"/>
      <c r="X90" s="519"/>
    </row>
    <row r="91" spans="1:24" ht="18" customHeight="1" x14ac:dyDescent="0.35">
      <c r="A91" s="136"/>
      <c r="B91" s="136"/>
      <c r="C91" s="138"/>
      <c r="D91" s="138"/>
      <c r="E91" s="138"/>
      <c r="F91" s="138"/>
      <c r="G91" s="138"/>
      <c r="H91" s="136"/>
      <c r="I91" s="136"/>
      <c r="J91" s="136"/>
      <c r="K91" s="136"/>
      <c r="L91" s="136"/>
      <c r="M91" s="130"/>
      <c r="N91" s="130"/>
      <c r="O91" s="130"/>
      <c r="P91" s="130"/>
      <c r="Q91" s="453"/>
      <c r="R91" s="136"/>
      <c r="S91" s="136"/>
      <c r="T91" s="129"/>
      <c r="U91" s="130"/>
      <c r="V91" s="138"/>
      <c r="W91" s="138"/>
    </row>
    <row r="92" spans="1:24" s="437" customFormat="1" ht="31.5" x14ac:dyDescent="0.35">
      <c r="A92" s="126" t="s">
        <v>310</v>
      </c>
      <c r="B92" s="447"/>
      <c r="C92" s="448">
        <v>4544235.4978266107</v>
      </c>
      <c r="D92" s="448">
        <v>990118.0282213235</v>
      </c>
      <c r="E92" s="448">
        <v>886265.20559732709</v>
      </c>
      <c r="F92" s="448">
        <v>3715529.5807754789</v>
      </c>
      <c r="G92" s="449">
        <f>SUM(C92:F92)</f>
        <v>10136148.312420741</v>
      </c>
      <c r="H92" s="124">
        <v>20</v>
      </c>
      <c r="I92" s="125" t="s">
        <v>311</v>
      </c>
      <c r="J92" s="450">
        <f>SUM(G92/H92)</f>
        <v>506807.41562103701</v>
      </c>
      <c r="K92" s="126" t="s">
        <v>310</v>
      </c>
      <c r="L92" s="447"/>
      <c r="M92" s="448">
        <v>2110241.4490956622</v>
      </c>
      <c r="N92" s="448">
        <v>539449.90764281107</v>
      </c>
      <c r="O92" s="448">
        <v>450643.74750660604</v>
      </c>
      <c r="P92" s="448">
        <v>613847.63305820362</v>
      </c>
      <c r="Q92" s="449">
        <f>SUM(M92:P92)</f>
        <v>3714182.7373032831</v>
      </c>
      <c r="R92" s="124">
        <v>6</v>
      </c>
      <c r="S92" s="125" t="s">
        <v>311</v>
      </c>
      <c r="T92" s="450">
        <f>SUM(Q92/R92)</f>
        <v>619030.45621721388</v>
      </c>
      <c r="U92" s="451">
        <f>SUM(Q92-G92)*100/G92</f>
        <v>-63.357060070323179</v>
      </c>
      <c r="V92" s="451">
        <f>SUM(R92-H92)*100/H92</f>
        <v>-70</v>
      </c>
      <c r="W92" s="451">
        <f>SUM(T92-J92)*100/J92</f>
        <v>22.143133098922757</v>
      </c>
      <c r="X92" s="522"/>
    </row>
    <row r="93" spans="1:24" ht="18" customHeight="1" x14ac:dyDescent="0.35">
      <c r="A93" s="126"/>
      <c r="B93" s="127"/>
      <c r="C93" s="128"/>
      <c r="D93" s="128"/>
      <c r="E93" s="128"/>
      <c r="F93" s="128"/>
      <c r="G93" s="123"/>
      <c r="H93" s="124"/>
      <c r="I93" s="125"/>
      <c r="J93" s="129"/>
      <c r="K93" s="126"/>
      <c r="L93" s="127"/>
      <c r="M93" s="128"/>
      <c r="N93" s="128"/>
      <c r="O93" s="128"/>
      <c r="P93" s="128"/>
      <c r="Q93" s="123"/>
      <c r="R93" s="124"/>
      <c r="S93" s="125"/>
      <c r="T93" s="129"/>
      <c r="U93" s="130"/>
      <c r="V93" s="138"/>
      <c r="W93" s="131"/>
    </row>
    <row r="94" spans="1:24" ht="21.95" customHeight="1" x14ac:dyDescent="0.35">
      <c r="A94" s="126"/>
      <c r="B94" s="127"/>
      <c r="C94" s="128"/>
      <c r="D94" s="128"/>
      <c r="E94" s="128"/>
      <c r="F94" s="128"/>
      <c r="G94" s="123"/>
      <c r="H94" s="124"/>
      <c r="I94" s="125"/>
      <c r="J94" s="129"/>
      <c r="K94" s="126" t="s">
        <v>447</v>
      </c>
      <c r="L94" s="127"/>
      <c r="M94" s="128">
        <v>641922.0513276764</v>
      </c>
      <c r="N94" s="128">
        <v>402203.88365094364</v>
      </c>
      <c r="O94" s="128">
        <v>48762.091861204841</v>
      </c>
      <c r="P94" s="128">
        <v>81650.061519143695</v>
      </c>
      <c r="Q94" s="123">
        <f>SUM(M94:P94)</f>
        <v>1174538.0883589685</v>
      </c>
      <c r="R94" s="124">
        <v>67</v>
      </c>
      <c r="S94" s="125" t="s">
        <v>300</v>
      </c>
      <c r="T94" s="129">
        <f>SUM(Q94/R94)</f>
        <v>17530.419229238334</v>
      </c>
      <c r="U94" s="130"/>
      <c r="V94" s="138"/>
      <c r="W94" s="131"/>
      <c r="X94" s="519"/>
    </row>
    <row r="95" spans="1:24" ht="18" customHeight="1" x14ac:dyDescent="0.35">
      <c r="A95" s="126"/>
      <c r="B95" s="127"/>
      <c r="C95" s="128"/>
      <c r="D95" s="128"/>
      <c r="E95" s="128"/>
      <c r="F95" s="128"/>
      <c r="G95" s="123"/>
      <c r="H95" s="124"/>
      <c r="I95" s="125"/>
      <c r="J95" s="129"/>
      <c r="K95" s="126"/>
      <c r="L95" s="127"/>
      <c r="M95" s="128"/>
      <c r="N95" s="128"/>
      <c r="O95" s="128"/>
      <c r="P95" s="128"/>
      <c r="Q95" s="123"/>
      <c r="R95" s="124"/>
      <c r="S95" s="125"/>
      <c r="T95" s="129"/>
      <c r="U95" s="130"/>
      <c r="V95" s="138"/>
      <c r="W95" s="131"/>
    </row>
    <row r="96" spans="1:24" s="437" customFormat="1" ht="47.25" x14ac:dyDescent="0.35">
      <c r="A96" s="126" t="s">
        <v>298</v>
      </c>
      <c r="B96" s="447"/>
      <c r="C96" s="448">
        <v>12040085.714659885</v>
      </c>
      <c r="D96" s="448">
        <v>2401705.0882010791</v>
      </c>
      <c r="E96" s="448">
        <v>2060780.561824545</v>
      </c>
      <c r="F96" s="448">
        <v>7554957.4788205056</v>
      </c>
      <c r="G96" s="449">
        <f>SUM(C96:F96)</f>
        <v>24057528.843506016</v>
      </c>
      <c r="H96" s="124">
        <v>78665</v>
      </c>
      <c r="I96" s="125" t="s">
        <v>226</v>
      </c>
      <c r="J96" s="450">
        <f>SUM(G96/H96)</f>
        <v>305.8225239116</v>
      </c>
      <c r="K96" s="126" t="s">
        <v>200</v>
      </c>
      <c r="L96" s="447"/>
      <c r="M96" s="448">
        <v>35188143.521662302</v>
      </c>
      <c r="N96" s="448">
        <v>7192789.0425420785</v>
      </c>
      <c r="O96" s="448">
        <v>1686536.8560154522</v>
      </c>
      <c r="P96" s="448">
        <v>4177016.7767018285</v>
      </c>
      <c r="Q96" s="449">
        <f>SUM(M96:P96)</f>
        <v>48244486.196921661</v>
      </c>
      <c r="R96" s="124">
        <v>83308</v>
      </c>
      <c r="S96" s="125" t="s">
        <v>226</v>
      </c>
      <c r="T96" s="450">
        <f>SUM(Q96/R96)</f>
        <v>579.10988376772536</v>
      </c>
      <c r="U96" s="451">
        <f>SUM(Q96-G96)*100/G96</f>
        <v>100.53799586296482</v>
      </c>
      <c r="V96" s="451">
        <f>SUM(R96-H96)*100/H96</f>
        <v>5.902243691603636</v>
      </c>
      <c r="W96" s="452">
        <f>SUM(T96-J96)*100/J96</f>
        <v>89.361423207376603</v>
      </c>
      <c r="X96" s="522"/>
    </row>
    <row r="97" spans="1:24" ht="18" customHeight="1" x14ac:dyDescent="0.35">
      <c r="A97" s="126"/>
      <c r="B97" s="127"/>
      <c r="C97" s="128"/>
      <c r="D97" s="128"/>
      <c r="E97" s="128"/>
      <c r="F97" s="128"/>
      <c r="G97" s="123"/>
      <c r="H97" s="124"/>
      <c r="I97" s="125"/>
      <c r="J97" s="129"/>
      <c r="K97" s="126"/>
      <c r="L97" s="127"/>
      <c r="M97" s="128"/>
      <c r="N97" s="128"/>
      <c r="O97" s="128"/>
      <c r="P97" s="128"/>
      <c r="Q97" s="123"/>
      <c r="R97" s="124"/>
      <c r="S97" s="125"/>
      <c r="T97" s="129"/>
      <c r="U97" s="130"/>
      <c r="V97" s="138"/>
      <c r="W97" s="138"/>
    </row>
    <row r="98" spans="1:24" s="437" customFormat="1" ht="31.5" x14ac:dyDescent="0.35">
      <c r="A98" s="126" t="s">
        <v>297</v>
      </c>
      <c r="B98" s="447">
        <f>34966859</f>
        <v>34966859</v>
      </c>
      <c r="C98" s="448">
        <f>8773433.72154071+34966859</f>
        <v>43740292.721540712</v>
      </c>
      <c r="D98" s="448">
        <v>949583.77858877671</v>
      </c>
      <c r="E98" s="448">
        <v>731051.19793434115</v>
      </c>
      <c r="F98" s="448">
        <v>1668292.128933551</v>
      </c>
      <c r="G98" s="449">
        <f>SUM(C98:F98)</f>
        <v>47089219.826997384</v>
      </c>
      <c r="H98" s="124">
        <v>261112</v>
      </c>
      <c r="I98" s="125" t="s">
        <v>226</v>
      </c>
      <c r="J98" s="450">
        <f>SUM(G98/H98)</f>
        <v>180.34107902738052</v>
      </c>
      <c r="K98" s="126" t="s">
        <v>201</v>
      </c>
      <c r="L98" s="447">
        <f>34966859</f>
        <v>34966859</v>
      </c>
      <c r="M98" s="448">
        <v>49223830.880094118</v>
      </c>
      <c r="N98" s="448">
        <v>4884755.0623837654</v>
      </c>
      <c r="O98" s="448">
        <v>554055.86437782296</v>
      </c>
      <c r="P98" s="448">
        <v>1061721.0804955093</v>
      </c>
      <c r="Q98" s="449">
        <f>SUM(M98:P98)</f>
        <v>55724362.887351215</v>
      </c>
      <c r="R98" s="124">
        <v>331941</v>
      </c>
      <c r="S98" s="125" t="s">
        <v>226</v>
      </c>
      <c r="T98" s="450">
        <f>SUM(Q98/R98)</f>
        <v>167.874299611531</v>
      </c>
      <c r="U98" s="451">
        <f>SUM(Q98-G98)*100/G98</f>
        <v>18.337834205108436</v>
      </c>
      <c r="V98" s="451">
        <f>SUM(R98-H98)*100/H98</f>
        <v>27.125907656484575</v>
      </c>
      <c r="W98" s="451">
        <f>SUM(T98-J98)*100/J98</f>
        <v>-6.9128894443160833</v>
      </c>
      <c r="X98" s="522"/>
    </row>
    <row r="99" spans="1:24" ht="18" customHeight="1" x14ac:dyDescent="0.35">
      <c r="A99" s="132"/>
      <c r="B99" s="133"/>
      <c r="C99" s="134"/>
      <c r="D99" s="134"/>
      <c r="E99" s="134"/>
      <c r="F99" s="134"/>
      <c r="G99" s="135"/>
      <c r="H99" s="136"/>
      <c r="I99" s="137"/>
      <c r="J99" s="136"/>
      <c r="K99" s="132"/>
      <c r="L99" s="133"/>
      <c r="M99" s="134"/>
      <c r="N99" s="134"/>
      <c r="O99" s="134"/>
      <c r="P99" s="134"/>
      <c r="Q99" s="135"/>
      <c r="R99" s="136"/>
      <c r="S99" s="137"/>
      <c r="T99" s="129"/>
      <c r="U99" s="130"/>
      <c r="V99" s="138"/>
      <c r="W99" s="138"/>
    </row>
    <row r="100" spans="1:24" ht="31.5" x14ac:dyDescent="0.35">
      <c r="A100" s="126" t="s">
        <v>305</v>
      </c>
      <c r="B100" s="127"/>
      <c r="C100" s="128">
        <v>2620157.4812902957</v>
      </c>
      <c r="D100" s="128">
        <v>481719.87105195888</v>
      </c>
      <c r="E100" s="128">
        <v>383039.26710896014</v>
      </c>
      <c r="F100" s="128">
        <v>1159862.0765091444</v>
      </c>
      <c r="G100" s="123">
        <f>SUM(C100:F100)</f>
        <v>4644778.6959603587</v>
      </c>
      <c r="H100" s="124">
        <v>14067</v>
      </c>
      <c r="I100" s="125" t="s">
        <v>223</v>
      </c>
      <c r="J100" s="129">
        <f>SUM(G100/H100)</f>
        <v>330.18971322672627</v>
      </c>
      <c r="K100" s="126" t="s">
        <v>202</v>
      </c>
      <c r="L100" s="127"/>
      <c r="M100" s="128">
        <v>4433055.2104031388</v>
      </c>
      <c r="N100" s="128">
        <v>2708210.1020532851</v>
      </c>
      <c r="O100" s="128">
        <v>393083.23375796468</v>
      </c>
      <c r="P100" s="128">
        <v>954257.04395718442</v>
      </c>
      <c r="Q100" s="123">
        <f>SUM(M100:P100)</f>
        <v>8488605.5901715718</v>
      </c>
      <c r="R100" s="124">
        <v>14693</v>
      </c>
      <c r="S100" s="125" t="s">
        <v>223</v>
      </c>
      <c r="T100" s="129">
        <f>SUM(Q100/R100)</f>
        <v>577.73127272657541</v>
      </c>
      <c r="U100" s="454">
        <f>SUM(Q100-G100)*100/G100</f>
        <v>82.755867304383159</v>
      </c>
      <c r="V100" s="454">
        <f>SUM(R100-H100)*100/H100</f>
        <v>4.4501315134712449</v>
      </c>
      <c r="W100" s="452">
        <f>SUM(T100-J100)*100/J100</f>
        <v>74.969494682553474</v>
      </c>
      <c r="X100" s="519"/>
    </row>
    <row r="101" spans="1:24" ht="18" customHeight="1" x14ac:dyDescent="0.35">
      <c r="A101" s="132"/>
      <c r="B101" s="133"/>
      <c r="C101" s="134"/>
      <c r="D101" s="134"/>
      <c r="E101" s="134"/>
      <c r="F101" s="134"/>
      <c r="G101" s="135"/>
      <c r="H101" s="136"/>
      <c r="I101" s="137"/>
      <c r="J101" s="136"/>
      <c r="K101" s="132"/>
      <c r="L101" s="133"/>
      <c r="M101" s="134"/>
      <c r="N101" s="134"/>
      <c r="O101" s="134"/>
      <c r="P101" s="134"/>
      <c r="Q101" s="135"/>
      <c r="R101" s="136"/>
      <c r="S101" s="137"/>
      <c r="T101" s="129"/>
      <c r="U101" s="130"/>
      <c r="V101" s="131"/>
      <c r="W101" s="131"/>
    </row>
    <row r="102" spans="1:24" ht="31.5" x14ac:dyDescent="0.35">
      <c r="A102" s="126" t="s">
        <v>303</v>
      </c>
      <c r="B102" s="127"/>
      <c r="C102" s="128">
        <v>257875.81038994645</v>
      </c>
      <c r="D102" s="128">
        <v>51309.737781640746</v>
      </c>
      <c r="E102" s="128">
        <v>36663.096699740621</v>
      </c>
      <c r="F102" s="128">
        <v>27396.662930802275</v>
      </c>
      <c r="G102" s="123">
        <f>SUM(C102:F102)</f>
        <v>373245.30780213006</v>
      </c>
      <c r="H102" s="124">
        <v>143</v>
      </c>
      <c r="I102" s="125" t="s">
        <v>225</v>
      </c>
      <c r="J102" s="129">
        <f>SUM(G102/H102)</f>
        <v>2610.1070475673432</v>
      </c>
      <c r="K102" s="126" t="s">
        <v>203</v>
      </c>
      <c r="L102" s="127"/>
      <c r="M102" s="128">
        <v>1859961.2378290487</v>
      </c>
      <c r="N102" s="128">
        <v>635643.22935714514</v>
      </c>
      <c r="O102" s="128">
        <v>232573.23596162751</v>
      </c>
      <c r="P102" s="128">
        <v>556009.18956232339</v>
      </c>
      <c r="Q102" s="123">
        <f>SUM(M102:P102)</f>
        <v>3284186.8927101451</v>
      </c>
      <c r="R102" s="124">
        <v>142</v>
      </c>
      <c r="S102" s="125" t="s">
        <v>225</v>
      </c>
      <c r="T102" s="129">
        <f t="shared" si="1"/>
        <v>23128.076709226374</v>
      </c>
      <c r="U102" s="454">
        <f>SUM(Q102-G102)*100/G102</f>
        <v>779.90038295436614</v>
      </c>
      <c r="V102" s="454">
        <f>SUM(R102-H104)*100/H104</f>
        <v>-46.212121212121211</v>
      </c>
      <c r="W102" s="452">
        <f>SUM(T102-J102)*100/J102</f>
        <v>786.09686452446726</v>
      </c>
      <c r="X102" s="519"/>
    </row>
    <row r="103" spans="1:24" ht="18" customHeight="1" x14ac:dyDescent="0.35">
      <c r="A103" s="132"/>
      <c r="B103" s="133"/>
      <c r="C103" s="134"/>
      <c r="D103" s="134"/>
      <c r="E103" s="134"/>
      <c r="F103" s="134"/>
      <c r="G103" s="135"/>
      <c r="H103" s="136"/>
      <c r="I103" s="137"/>
      <c r="J103" s="136"/>
      <c r="K103" s="132"/>
      <c r="L103" s="133"/>
      <c r="M103" s="134"/>
      <c r="N103" s="134"/>
      <c r="O103" s="134"/>
      <c r="P103" s="134"/>
      <c r="Q103" s="135"/>
      <c r="R103" s="136"/>
      <c r="S103" s="137"/>
      <c r="T103" s="129"/>
      <c r="U103" s="130"/>
      <c r="V103" s="138"/>
      <c r="W103" s="131"/>
    </row>
    <row r="104" spans="1:24" ht="35.25" customHeight="1" x14ac:dyDescent="0.35">
      <c r="A104" s="126" t="s">
        <v>304</v>
      </c>
      <c r="B104" s="127"/>
      <c r="C104" s="128">
        <v>336698.57045641594</v>
      </c>
      <c r="D104" s="128">
        <v>47022.186925971429</v>
      </c>
      <c r="E104" s="128">
        <v>41292.622775042255</v>
      </c>
      <c r="F104" s="128">
        <v>99243.402334472339</v>
      </c>
      <c r="G104" s="123">
        <f>SUM(C104:F104)</f>
        <v>524256.78249190195</v>
      </c>
      <c r="H104" s="124">
        <v>264</v>
      </c>
      <c r="I104" s="125" t="s">
        <v>226</v>
      </c>
      <c r="J104" s="129">
        <f>SUM(G104/H104)</f>
        <v>1985.821145802659</v>
      </c>
      <c r="K104" s="126" t="s">
        <v>440</v>
      </c>
      <c r="L104" s="127"/>
      <c r="M104" s="128">
        <v>1577378.1849242118</v>
      </c>
      <c r="N104" s="128">
        <v>199652.52650245794</v>
      </c>
      <c r="O104" s="128">
        <v>25786.029384039743</v>
      </c>
      <c r="P104" s="128">
        <v>77134.198549180306</v>
      </c>
      <c r="Q104" s="123">
        <f>SUM(M104:P104)</f>
        <v>1879950.9393598898</v>
      </c>
      <c r="R104" s="124">
        <v>307</v>
      </c>
      <c r="S104" s="125" t="s">
        <v>226</v>
      </c>
      <c r="T104" s="129">
        <f>SUM(Q104/R104)</f>
        <v>6123.6186949833545</v>
      </c>
      <c r="U104" s="454">
        <f>SUM(Q104-G104)*100/G104</f>
        <v>258.59353701140316</v>
      </c>
      <c r="V104" s="454">
        <f>SUM(R104-H104)*100/H104</f>
        <v>16.287878787878789</v>
      </c>
      <c r="W104" s="452">
        <f>SUM(T104-J104)*100/J104</f>
        <v>208.36708068733043</v>
      </c>
      <c r="X104" s="519"/>
    </row>
    <row r="105" spans="1:24" ht="18" customHeight="1" x14ac:dyDescent="0.35">
      <c r="A105" s="132"/>
      <c r="B105" s="133"/>
      <c r="C105" s="134"/>
      <c r="D105" s="134"/>
      <c r="E105" s="134"/>
      <c r="F105" s="134"/>
      <c r="G105" s="135"/>
      <c r="H105" s="136"/>
      <c r="I105" s="137"/>
      <c r="J105" s="136"/>
      <c r="K105" s="132"/>
      <c r="L105" s="133"/>
      <c r="M105" s="134"/>
      <c r="N105" s="134"/>
      <c r="O105" s="134"/>
      <c r="P105" s="134"/>
      <c r="Q105" s="135"/>
      <c r="R105" s="136"/>
      <c r="S105" s="137"/>
      <c r="T105" s="129"/>
      <c r="U105" s="130"/>
      <c r="V105" s="131"/>
      <c r="W105" s="138"/>
    </row>
    <row r="106" spans="1:24" ht="31.5" x14ac:dyDescent="0.35">
      <c r="A106" s="126" t="s">
        <v>325</v>
      </c>
      <c r="B106" s="127"/>
      <c r="C106" s="128">
        <v>181500</v>
      </c>
      <c r="D106" s="134">
        <v>0</v>
      </c>
      <c r="E106" s="134">
        <v>0</v>
      </c>
      <c r="F106" s="134">
        <v>0</v>
      </c>
      <c r="G106" s="123">
        <f>SUM(C106:F106)</f>
        <v>181500</v>
      </c>
      <c r="H106" s="124">
        <v>2</v>
      </c>
      <c r="I106" s="125" t="s">
        <v>222</v>
      </c>
      <c r="J106" s="129">
        <f>SUM(G106/H106)</f>
        <v>90750</v>
      </c>
      <c r="K106" s="126" t="s">
        <v>439</v>
      </c>
      <c r="L106" s="127"/>
      <c r="M106" s="128">
        <v>292294.60508241504</v>
      </c>
      <c r="N106" s="134">
        <v>48912.653931266119</v>
      </c>
      <c r="O106" s="134">
        <v>37768.03959212295</v>
      </c>
      <c r="P106" s="134">
        <v>89837.403630268018</v>
      </c>
      <c r="Q106" s="123">
        <f>SUM(M106:P106)</f>
        <v>468812.7022360721</v>
      </c>
      <c r="R106" s="124">
        <v>18</v>
      </c>
      <c r="S106" s="125" t="s">
        <v>222</v>
      </c>
      <c r="T106" s="129">
        <f>SUM(Q106/R106)</f>
        <v>26045.150124226227</v>
      </c>
      <c r="U106" s="454">
        <f>SUM(Q106-G106)*100/G106</f>
        <v>158.29900949645844</v>
      </c>
      <c r="V106" s="454">
        <f>SUM(R106-H106)*100/H106</f>
        <v>800</v>
      </c>
      <c r="W106" s="452">
        <f>SUM(T106-J106)*100/J106</f>
        <v>-71.300110055949062</v>
      </c>
      <c r="X106" s="519"/>
    </row>
    <row r="107" spans="1:24" s="525" customFormat="1" ht="18" customHeight="1" x14ac:dyDescent="0.35">
      <c r="A107" s="455"/>
      <c r="B107" s="456"/>
      <c r="C107" s="457"/>
      <c r="D107" s="458"/>
      <c r="E107" s="458"/>
      <c r="F107" s="458"/>
      <c r="G107" s="459"/>
      <c r="H107" s="460"/>
      <c r="I107" s="461"/>
      <c r="J107" s="524"/>
      <c r="K107" s="455"/>
      <c r="L107" s="456"/>
      <c r="M107" s="457"/>
      <c r="N107" s="458"/>
      <c r="O107" s="458"/>
      <c r="P107" s="458"/>
      <c r="Q107" s="459"/>
      <c r="R107" s="460"/>
      <c r="S107" s="461"/>
      <c r="T107" s="129"/>
      <c r="U107" s="462"/>
      <c r="V107" s="463"/>
      <c r="W107" s="463"/>
    </row>
    <row r="108" spans="1:24" ht="21.95" customHeight="1" x14ac:dyDescent="0.35">
      <c r="A108" s="126" t="s">
        <v>308</v>
      </c>
      <c r="B108" s="127"/>
      <c r="C108" s="128">
        <v>533811.4065555213</v>
      </c>
      <c r="D108" s="128">
        <v>17385.346755110011</v>
      </c>
      <c r="E108" s="128">
        <v>14909.404549725994</v>
      </c>
      <c r="F108" s="128">
        <v>65373.229987278726</v>
      </c>
      <c r="G108" s="123">
        <f>SUM(C108:F108)</f>
        <v>631479.38784763601</v>
      </c>
      <c r="H108" s="124">
        <v>56</v>
      </c>
      <c r="I108" s="125" t="s">
        <v>222</v>
      </c>
      <c r="J108" s="129">
        <f>SUM(G108/H108)</f>
        <v>11276.417640136357</v>
      </c>
      <c r="K108" s="126"/>
      <c r="L108" s="127"/>
      <c r="M108" s="128"/>
      <c r="N108" s="128"/>
      <c r="O108" s="128"/>
      <c r="P108" s="128"/>
      <c r="Q108" s="123"/>
      <c r="R108" s="124"/>
      <c r="S108" s="125"/>
      <c r="T108" s="129"/>
      <c r="U108" s="130"/>
      <c r="V108" s="130"/>
      <c r="W108" s="130"/>
    </row>
    <row r="109" spans="1:24" ht="18" customHeight="1" x14ac:dyDescent="0.35">
      <c r="A109" s="132"/>
      <c r="B109" s="133"/>
      <c r="C109" s="134"/>
      <c r="D109" s="134"/>
      <c r="E109" s="134"/>
      <c r="F109" s="134"/>
      <c r="G109" s="135"/>
      <c r="H109" s="136"/>
      <c r="I109" s="137"/>
      <c r="J109" s="136"/>
      <c r="K109" s="132"/>
      <c r="L109" s="133"/>
      <c r="M109" s="134"/>
      <c r="N109" s="134"/>
      <c r="O109" s="134"/>
      <c r="P109" s="134"/>
      <c r="Q109" s="135"/>
      <c r="R109" s="136"/>
      <c r="S109" s="137"/>
      <c r="T109" s="129"/>
      <c r="U109" s="130"/>
      <c r="V109" s="138"/>
      <c r="W109" s="131"/>
    </row>
    <row r="110" spans="1:24" ht="31.5" x14ac:dyDescent="0.35">
      <c r="A110" s="126" t="s">
        <v>307</v>
      </c>
      <c r="B110" s="127"/>
      <c r="C110" s="128">
        <v>10720864.822159784</v>
      </c>
      <c r="D110" s="128">
        <v>127884.38997561716</v>
      </c>
      <c r="E110" s="128">
        <v>179439.99346283649</v>
      </c>
      <c r="F110" s="128">
        <v>629185.13869848335</v>
      </c>
      <c r="G110" s="123">
        <f>SUM(C110:F110)</f>
        <v>11657374.34429672</v>
      </c>
      <c r="H110" s="124">
        <v>68</v>
      </c>
      <c r="I110" s="125" t="s">
        <v>222</v>
      </c>
      <c r="J110" s="129">
        <f>SUM(G110/H110)</f>
        <v>171431.97565142234</v>
      </c>
      <c r="K110" s="126"/>
      <c r="L110" s="127"/>
      <c r="M110" s="128"/>
      <c r="N110" s="128"/>
      <c r="O110" s="128"/>
      <c r="P110" s="128"/>
      <c r="Q110" s="123"/>
      <c r="R110" s="124"/>
      <c r="S110" s="125"/>
      <c r="T110" s="129"/>
      <c r="U110" s="130"/>
      <c r="V110" s="130"/>
      <c r="W110" s="130"/>
    </row>
    <row r="111" spans="1:24" ht="18" customHeight="1" x14ac:dyDescent="0.35">
      <c r="A111" s="132"/>
      <c r="B111" s="133"/>
      <c r="C111" s="134"/>
      <c r="D111" s="134"/>
      <c r="E111" s="134"/>
      <c r="F111" s="134"/>
      <c r="G111" s="135"/>
      <c r="H111" s="136"/>
      <c r="I111" s="137"/>
      <c r="J111" s="136"/>
      <c r="K111" s="132"/>
      <c r="L111" s="133"/>
      <c r="M111" s="134"/>
      <c r="N111" s="134"/>
      <c r="O111" s="134"/>
      <c r="P111" s="134"/>
      <c r="Q111" s="135"/>
      <c r="R111" s="136"/>
      <c r="S111" s="137"/>
      <c r="T111" s="129"/>
      <c r="U111" s="130"/>
      <c r="V111" s="131"/>
      <c r="W111" s="131"/>
    </row>
    <row r="112" spans="1:24" ht="31.5" x14ac:dyDescent="0.35">
      <c r="A112" s="126" t="s">
        <v>317</v>
      </c>
      <c r="B112" s="127"/>
      <c r="C112" s="128">
        <v>1725178.6290715458</v>
      </c>
      <c r="D112" s="128">
        <v>121795.09777315833</v>
      </c>
      <c r="E112" s="128">
        <v>104449.59254779952</v>
      </c>
      <c r="F112" s="128">
        <v>457979.87524795829</v>
      </c>
      <c r="G112" s="123">
        <f>SUM(C112:F112)</f>
        <v>2409403.1946404618</v>
      </c>
      <c r="H112" s="124">
        <v>49</v>
      </c>
      <c r="I112" s="125" t="s">
        <v>222</v>
      </c>
      <c r="J112" s="129">
        <f>SUM(G112/H112)</f>
        <v>49171.493768172688</v>
      </c>
      <c r="K112" s="126"/>
      <c r="L112" s="127"/>
      <c r="M112" s="128"/>
      <c r="N112" s="128"/>
      <c r="O112" s="128"/>
      <c r="P112" s="128"/>
      <c r="Q112" s="123"/>
      <c r="R112" s="124"/>
      <c r="S112" s="125"/>
      <c r="T112" s="129"/>
      <c r="U112" s="130"/>
      <c r="V112" s="130"/>
      <c r="W112" s="131"/>
    </row>
    <row r="113" spans="1:24" ht="18" customHeight="1" x14ac:dyDescent="0.35">
      <c r="A113" s="126"/>
      <c r="B113" s="127"/>
      <c r="C113" s="128"/>
      <c r="D113" s="128"/>
      <c r="E113" s="128"/>
      <c r="F113" s="128"/>
      <c r="G113" s="123"/>
      <c r="H113" s="124"/>
      <c r="I113" s="125"/>
      <c r="J113" s="129"/>
      <c r="K113" s="126"/>
      <c r="L113" s="127"/>
      <c r="M113" s="128"/>
      <c r="N113" s="128"/>
      <c r="O113" s="128"/>
      <c r="P113" s="128"/>
      <c r="Q113" s="123"/>
      <c r="R113" s="124"/>
      <c r="S113" s="125"/>
      <c r="T113" s="129"/>
      <c r="U113" s="130"/>
      <c r="V113" s="131"/>
      <c r="W113" s="131"/>
    </row>
    <row r="114" spans="1:24" ht="21.95" customHeight="1" x14ac:dyDescent="0.35">
      <c r="A114" s="126" t="s">
        <v>301</v>
      </c>
      <c r="B114" s="127"/>
      <c r="C114" s="128">
        <v>570462.31040553795</v>
      </c>
      <c r="D114" s="128">
        <v>37254.553732038141</v>
      </c>
      <c r="E114" s="128">
        <v>30976.576719364173</v>
      </c>
      <c r="F114" s="128">
        <v>76063.472844122865</v>
      </c>
      <c r="G114" s="123">
        <f>SUM(C114:F114)</f>
        <v>714756.91370106314</v>
      </c>
      <c r="H114" s="124">
        <v>30</v>
      </c>
      <c r="I114" s="125" t="s">
        <v>226</v>
      </c>
      <c r="J114" s="129">
        <f>SUM(G114/H114)</f>
        <v>23825.230456702106</v>
      </c>
      <c r="K114" s="126"/>
      <c r="L114" s="127"/>
      <c r="M114" s="128"/>
      <c r="N114" s="128"/>
      <c r="O114" s="128"/>
      <c r="P114" s="128"/>
      <c r="Q114" s="123"/>
      <c r="R114" s="124"/>
      <c r="S114" s="125"/>
      <c r="T114" s="129"/>
      <c r="U114" s="130"/>
      <c r="V114" s="131"/>
      <c r="W114" s="131"/>
    </row>
    <row r="115" spans="1:24" ht="21.95" customHeight="1" x14ac:dyDescent="0.35">
      <c r="A115" s="126"/>
      <c r="B115" s="127"/>
      <c r="C115" s="128"/>
      <c r="D115" s="128"/>
      <c r="E115" s="128"/>
      <c r="F115" s="128"/>
      <c r="G115" s="123"/>
      <c r="H115" s="124"/>
      <c r="I115" s="125"/>
      <c r="J115" s="129"/>
      <c r="K115" s="126"/>
      <c r="L115" s="127"/>
      <c r="M115" s="128"/>
      <c r="N115" s="128"/>
      <c r="O115" s="128"/>
      <c r="P115" s="128"/>
      <c r="Q115" s="123"/>
      <c r="R115" s="124"/>
      <c r="S115" s="125"/>
      <c r="T115" s="129"/>
      <c r="U115" s="130"/>
      <c r="V115" s="138"/>
      <c r="W115" s="138"/>
    </row>
    <row r="116" spans="1:24" ht="31.5" x14ac:dyDescent="0.35">
      <c r="A116" s="126" t="s">
        <v>326</v>
      </c>
      <c r="B116" s="127"/>
      <c r="C116" s="128">
        <v>9230130.1471784692</v>
      </c>
      <c r="D116" s="128">
        <v>1909525.7446031389</v>
      </c>
      <c r="E116" s="128">
        <v>348585.17822178424</v>
      </c>
      <c r="F116" s="128">
        <v>3355529.4520901991</v>
      </c>
      <c r="G116" s="123">
        <f>SUM(C116:F116)</f>
        <v>14843770.52209359</v>
      </c>
      <c r="H116" s="124">
        <v>6500</v>
      </c>
      <c r="I116" s="125" t="s">
        <v>327</v>
      </c>
      <c r="J116" s="129">
        <f>SUM(G116/H116)</f>
        <v>2283.6570033990138</v>
      </c>
      <c r="K116" s="126"/>
      <c r="L116" s="127"/>
      <c r="M116" s="128"/>
      <c r="N116" s="128"/>
      <c r="O116" s="128"/>
      <c r="P116" s="128"/>
      <c r="Q116" s="123"/>
      <c r="R116" s="124"/>
      <c r="S116" s="125"/>
      <c r="T116" s="129"/>
      <c r="U116" s="130"/>
      <c r="V116" s="138"/>
      <c r="W116" s="138"/>
    </row>
    <row r="117" spans="1:24" ht="18" customHeight="1" x14ac:dyDescent="0.35">
      <c r="A117" s="136"/>
      <c r="B117" s="141"/>
      <c r="C117" s="130"/>
      <c r="D117" s="130"/>
      <c r="E117" s="130"/>
      <c r="F117" s="130"/>
      <c r="G117" s="135"/>
      <c r="H117" s="136"/>
      <c r="I117" s="137"/>
      <c r="J117" s="136"/>
      <c r="K117" s="136"/>
      <c r="L117" s="141"/>
      <c r="M117" s="130"/>
      <c r="N117" s="130"/>
      <c r="O117" s="130"/>
      <c r="P117" s="130"/>
      <c r="Q117" s="135"/>
      <c r="R117" s="136"/>
      <c r="S117" s="137"/>
      <c r="T117" s="129"/>
      <c r="U117" s="130"/>
      <c r="V117" s="138"/>
      <c r="W117" s="138"/>
    </row>
    <row r="118" spans="1:24" ht="31.5" x14ac:dyDescent="0.35">
      <c r="A118" s="126" t="s">
        <v>312</v>
      </c>
      <c r="B118" s="127"/>
      <c r="C118" s="128">
        <v>3960551.1756379888</v>
      </c>
      <c r="D118" s="128">
        <v>436476.97706326027</v>
      </c>
      <c r="E118" s="128">
        <v>316982.94676061103</v>
      </c>
      <c r="F118" s="128">
        <v>463754.10405081749</v>
      </c>
      <c r="G118" s="123">
        <f>SUM(C118:F118)</f>
        <v>5177765.2035126779</v>
      </c>
      <c r="H118" s="124">
        <v>12</v>
      </c>
      <c r="I118" s="125" t="s">
        <v>222</v>
      </c>
      <c r="J118" s="129">
        <f>SUM(G118/H118)</f>
        <v>431480.43362605647</v>
      </c>
      <c r="K118" s="126" t="s">
        <v>204</v>
      </c>
      <c r="L118" s="127"/>
      <c r="M118" s="128">
        <v>7971389.413494152</v>
      </c>
      <c r="N118" s="128">
        <v>3362140.2322620358</v>
      </c>
      <c r="O118" s="128">
        <v>502965.31169170316</v>
      </c>
      <c r="P118" s="128">
        <v>1320669.4832620565</v>
      </c>
      <c r="Q118" s="123">
        <f>SUM(M118:P118)</f>
        <v>13157164.440709949</v>
      </c>
      <c r="R118" s="124">
        <v>63</v>
      </c>
      <c r="S118" s="125" t="s">
        <v>222</v>
      </c>
      <c r="T118" s="129">
        <f>SUM(Q118/R118)</f>
        <v>208843.88001126904</v>
      </c>
      <c r="U118" s="454">
        <f>SUM(Q118-G118)*100/G118</f>
        <v>154.10894321325964</v>
      </c>
      <c r="V118" s="454">
        <f>SUM(R118-H118)*100/H118</f>
        <v>425</v>
      </c>
      <c r="W118" s="452">
        <f>SUM(T118-J118)*100/J118</f>
        <v>-51.59829653080768</v>
      </c>
      <c r="X118" s="519"/>
    </row>
    <row r="119" spans="1:24" ht="18" customHeight="1" x14ac:dyDescent="0.35">
      <c r="A119" s="132"/>
      <c r="B119" s="133"/>
      <c r="C119" s="134"/>
      <c r="D119" s="134"/>
      <c r="E119" s="134"/>
      <c r="F119" s="134"/>
      <c r="G119" s="135"/>
      <c r="H119" s="136"/>
      <c r="I119" s="137"/>
      <c r="J119" s="136"/>
      <c r="K119" s="132"/>
      <c r="L119" s="133"/>
      <c r="M119" s="134"/>
      <c r="N119" s="134"/>
      <c r="O119" s="134"/>
      <c r="P119" s="134"/>
      <c r="Q119" s="135"/>
      <c r="R119" s="136"/>
      <c r="S119" s="137"/>
      <c r="T119" s="129"/>
      <c r="U119" s="130"/>
      <c r="V119" s="138"/>
      <c r="W119" s="131"/>
    </row>
    <row r="120" spans="1:24" ht="47.25" x14ac:dyDescent="0.35">
      <c r="A120" s="126" t="s">
        <v>299</v>
      </c>
      <c r="B120" s="127">
        <f>14901292.62+49730942</f>
        <v>64632234.619999997</v>
      </c>
      <c r="C120" s="128">
        <f>13854544.0500159+64632234.62</f>
        <v>78486778.670015901</v>
      </c>
      <c r="D120" s="128">
        <v>2731820.640601513</v>
      </c>
      <c r="E120" s="128">
        <v>1114873.445930748</v>
      </c>
      <c r="F120" s="128">
        <v>3452702.6795839672</v>
      </c>
      <c r="G120" s="123">
        <f>SUM(C120:F120)</f>
        <v>85786175.436132133</v>
      </c>
      <c r="H120" s="124">
        <v>2701</v>
      </c>
      <c r="I120" s="125" t="s">
        <v>300</v>
      </c>
      <c r="J120" s="129">
        <f>SUM(G120/H120)</f>
        <v>31760.894274761988</v>
      </c>
      <c r="K120" s="126" t="s">
        <v>444</v>
      </c>
      <c r="L120" s="127">
        <f>14901292.62+49730942</f>
        <v>64632234.619999997</v>
      </c>
      <c r="M120" s="128">
        <v>235951902.27150801</v>
      </c>
      <c r="N120" s="128">
        <v>3637902.2560902922</v>
      </c>
      <c r="O120" s="128">
        <v>169255437.68846121</v>
      </c>
      <c r="P120" s="128">
        <v>1033293.497901755</v>
      </c>
      <c r="Q120" s="123">
        <f>SUM(M120:P120)</f>
        <v>409878535.71396124</v>
      </c>
      <c r="R120" s="124">
        <v>41</v>
      </c>
      <c r="S120" s="125" t="s">
        <v>222</v>
      </c>
      <c r="T120" s="129">
        <f>SUM(Q120/R120)</f>
        <v>9997037.4564380795</v>
      </c>
      <c r="U120" s="454"/>
      <c r="V120" s="454"/>
      <c r="W120" s="454"/>
      <c r="X120" s="519"/>
    </row>
    <row r="121" spans="1:24" ht="18" customHeight="1" x14ac:dyDescent="0.35">
      <c r="A121" s="132"/>
      <c r="B121" s="133"/>
      <c r="C121" s="134"/>
      <c r="D121" s="134"/>
      <c r="E121" s="134"/>
      <c r="F121" s="134"/>
      <c r="G121" s="135"/>
      <c r="H121" s="136"/>
      <c r="I121" s="137"/>
      <c r="J121" s="136"/>
      <c r="K121" s="132"/>
      <c r="L121" s="133"/>
      <c r="M121" s="134"/>
      <c r="N121" s="134"/>
      <c r="O121" s="134"/>
      <c r="P121" s="134"/>
      <c r="Q121" s="135"/>
      <c r="R121" s="136"/>
      <c r="S121" s="137"/>
      <c r="T121" s="129"/>
      <c r="U121" s="130"/>
      <c r="V121" s="138"/>
      <c r="W121" s="138"/>
    </row>
    <row r="122" spans="1:24" ht="38.25" customHeight="1" x14ac:dyDescent="0.35">
      <c r="A122" s="126"/>
      <c r="B122" s="127"/>
      <c r="C122" s="128"/>
      <c r="D122" s="128"/>
      <c r="E122" s="128"/>
      <c r="F122" s="128"/>
      <c r="G122" s="123"/>
      <c r="H122" s="124"/>
      <c r="I122" s="125"/>
      <c r="J122" s="129"/>
      <c r="K122" s="126" t="s">
        <v>445</v>
      </c>
      <c r="L122" s="127"/>
      <c r="M122" s="128">
        <v>5951500.207555362</v>
      </c>
      <c r="N122" s="128">
        <v>4784611.0743415682</v>
      </c>
      <c r="O122" s="128">
        <v>1045860.2787440623</v>
      </c>
      <c r="P122" s="128">
        <v>1287145.9147960693</v>
      </c>
      <c r="Q122" s="123">
        <f>SUM(M122:P122)</f>
        <v>13069117.475437062</v>
      </c>
      <c r="R122" s="124">
        <v>244</v>
      </c>
      <c r="S122" s="125" t="s">
        <v>222</v>
      </c>
      <c r="T122" s="129">
        <f>SUM(Q122/R122)</f>
        <v>53561.956866545333</v>
      </c>
      <c r="U122" s="130"/>
      <c r="V122" s="130"/>
      <c r="W122" s="130"/>
      <c r="X122" s="519"/>
    </row>
    <row r="123" spans="1:24" ht="18" customHeight="1" x14ac:dyDescent="0.35">
      <c r="A123" s="126"/>
      <c r="B123" s="127"/>
      <c r="C123" s="128"/>
      <c r="D123" s="128"/>
      <c r="E123" s="128"/>
      <c r="F123" s="128"/>
      <c r="G123" s="123"/>
      <c r="H123" s="124"/>
      <c r="I123" s="125"/>
      <c r="J123" s="129"/>
      <c r="K123" s="126"/>
      <c r="L123" s="127"/>
      <c r="M123" s="128"/>
      <c r="N123" s="128"/>
      <c r="O123" s="128"/>
      <c r="P123" s="128"/>
      <c r="Q123" s="123"/>
      <c r="R123" s="124"/>
      <c r="S123" s="125"/>
      <c r="T123" s="129"/>
      <c r="U123" s="130"/>
      <c r="V123" s="130"/>
      <c r="W123" s="130"/>
    </row>
    <row r="124" spans="1:24" s="437" customFormat="1" ht="31.5" x14ac:dyDescent="0.35">
      <c r="A124" s="126" t="s">
        <v>302</v>
      </c>
      <c r="B124" s="447"/>
      <c r="C124" s="448">
        <v>11114539.152072316</v>
      </c>
      <c r="D124" s="448">
        <v>9517507.9489353057</v>
      </c>
      <c r="E124" s="448">
        <v>4486134.4392808517</v>
      </c>
      <c r="F124" s="448">
        <v>2485363.529585442</v>
      </c>
      <c r="G124" s="449">
        <f>SUM(C124:F124)</f>
        <v>27603545.069873918</v>
      </c>
      <c r="H124" s="124">
        <v>1919</v>
      </c>
      <c r="I124" s="125" t="s">
        <v>226</v>
      </c>
      <c r="J124" s="450">
        <f>SUM(G124/H124)</f>
        <v>14384.338233389222</v>
      </c>
      <c r="K124" s="126" t="s">
        <v>205</v>
      </c>
      <c r="L124" s="447"/>
      <c r="M124" s="448">
        <v>2601647.5516293952</v>
      </c>
      <c r="N124" s="448">
        <v>1678713.6985256516</v>
      </c>
      <c r="O124" s="448">
        <v>313608.72368829302</v>
      </c>
      <c r="P124" s="448">
        <v>480346.36808545305</v>
      </c>
      <c r="Q124" s="449">
        <f>SUM(M124:P124)</f>
        <v>5074316.3419287931</v>
      </c>
      <c r="R124" s="124">
        <v>2237</v>
      </c>
      <c r="S124" s="125" t="s">
        <v>226</v>
      </c>
      <c r="T124" s="450">
        <f>SUM(Q124/R124)</f>
        <v>2268.357774666425</v>
      </c>
      <c r="U124" s="451">
        <f>SUM(Q124-G124)*100/G124</f>
        <v>-81.617157038764489</v>
      </c>
      <c r="V124" s="451">
        <f>SUM(R124-H124)*100/H124</f>
        <v>16.571130797290255</v>
      </c>
      <c r="W124" s="452">
        <f>SUM(T124-J124)*100/J124</f>
        <v>-84.230364039959326</v>
      </c>
      <c r="X124" s="522"/>
    </row>
    <row r="125" spans="1:24" ht="18" customHeight="1" x14ac:dyDescent="0.35">
      <c r="A125" s="126"/>
      <c r="B125" s="127"/>
      <c r="C125" s="128"/>
      <c r="D125" s="128"/>
      <c r="E125" s="128"/>
      <c r="F125" s="128"/>
      <c r="G125" s="123"/>
      <c r="H125" s="124"/>
      <c r="I125" s="125"/>
      <c r="J125" s="129"/>
      <c r="K125" s="126"/>
      <c r="L125" s="127"/>
      <c r="M125" s="128"/>
      <c r="N125" s="128"/>
      <c r="O125" s="128"/>
      <c r="P125" s="128"/>
      <c r="Q125" s="123"/>
      <c r="R125" s="124"/>
      <c r="S125" s="125"/>
      <c r="T125" s="129"/>
      <c r="U125" s="130"/>
      <c r="V125" s="130"/>
      <c r="W125" s="130"/>
    </row>
    <row r="126" spans="1:24" ht="31.5" x14ac:dyDescent="0.35">
      <c r="A126" s="132"/>
      <c r="B126" s="133"/>
      <c r="C126" s="134"/>
      <c r="D126" s="134"/>
      <c r="E126" s="134"/>
      <c r="F126" s="134"/>
      <c r="G126" s="135"/>
      <c r="H126" s="136"/>
      <c r="I126" s="137"/>
      <c r="J126" s="136"/>
      <c r="K126" s="126" t="s">
        <v>446</v>
      </c>
      <c r="L126" s="133"/>
      <c r="M126" s="134">
        <v>9842203.4927571788</v>
      </c>
      <c r="N126" s="134">
        <v>4665623.7592377318</v>
      </c>
      <c r="O126" s="134">
        <v>2058242.559823161</v>
      </c>
      <c r="P126" s="134">
        <v>959279.14559482411</v>
      </c>
      <c r="Q126" s="464">
        <f>SUM(M126:P126)</f>
        <v>17525348.957412899</v>
      </c>
      <c r="R126" s="136">
        <v>12</v>
      </c>
      <c r="S126" s="137" t="s">
        <v>331</v>
      </c>
      <c r="T126" s="129">
        <f>SUM(Q126/R126)</f>
        <v>1460445.746451075</v>
      </c>
      <c r="U126" s="130"/>
      <c r="V126" s="138"/>
      <c r="W126" s="138"/>
      <c r="X126" s="519"/>
    </row>
    <row r="127" spans="1:24" ht="18" customHeight="1" x14ac:dyDescent="0.35">
      <c r="A127" s="132"/>
      <c r="B127" s="133"/>
      <c r="C127" s="134"/>
      <c r="D127" s="134"/>
      <c r="E127" s="134"/>
      <c r="F127" s="134"/>
      <c r="G127" s="135"/>
      <c r="H127" s="136"/>
      <c r="I127" s="137"/>
      <c r="J127" s="136"/>
      <c r="K127" s="132"/>
      <c r="L127" s="133"/>
      <c r="M127" s="134"/>
      <c r="N127" s="134"/>
      <c r="O127" s="134"/>
      <c r="P127" s="134"/>
      <c r="Q127" s="135"/>
      <c r="R127" s="136"/>
      <c r="S127" s="137"/>
      <c r="T127" s="129"/>
      <c r="U127" s="130"/>
      <c r="V127" s="138"/>
      <c r="W127" s="138"/>
    </row>
    <row r="128" spans="1:24" ht="34.5" customHeight="1" x14ac:dyDescent="0.35">
      <c r="A128" s="132"/>
      <c r="B128" s="133"/>
      <c r="C128" s="134"/>
      <c r="D128" s="134"/>
      <c r="E128" s="134"/>
      <c r="F128" s="134"/>
      <c r="G128" s="135"/>
      <c r="H128" s="136"/>
      <c r="I128" s="137"/>
      <c r="J128" s="136"/>
      <c r="K128" s="126" t="s">
        <v>465</v>
      </c>
      <c r="L128" s="133"/>
      <c r="M128" s="134">
        <v>16411807.193575799</v>
      </c>
      <c r="N128" s="134">
        <v>5725535.4811051525</v>
      </c>
      <c r="O128" s="134">
        <v>669523.57562987448</v>
      </c>
      <c r="P128" s="134">
        <v>4927533.4668904385</v>
      </c>
      <c r="Q128" s="464">
        <f>SUM(M128:P128)</f>
        <v>27734399.717201266</v>
      </c>
      <c r="R128" s="136">
        <v>578500</v>
      </c>
      <c r="S128" s="137" t="s">
        <v>575</v>
      </c>
      <c r="T128" s="129">
        <f>SUM(Q128/R128)</f>
        <v>47.941918266553614</v>
      </c>
      <c r="U128" s="130"/>
      <c r="V128" s="138"/>
      <c r="W128" s="138"/>
      <c r="X128" s="519"/>
    </row>
    <row r="129" spans="1:24" ht="18" customHeight="1" x14ac:dyDescent="0.35">
      <c r="A129" s="132"/>
      <c r="B129" s="133"/>
      <c r="C129" s="134"/>
      <c r="D129" s="134"/>
      <c r="E129" s="134"/>
      <c r="F129" s="134"/>
      <c r="G129" s="135"/>
      <c r="H129" s="136"/>
      <c r="I129" s="137"/>
      <c r="J129" s="136"/>
      <c r="K129" s="132"/>
      <c r="L129" s="133"/>
      <c r="M129" s="134"/>
      <c r="N129" s="134"/>
      <c r="O129" s="134"/>
      <c r="P129" s="134"/>
      <c r="Q129" s="135"/>
      <c r="R129" s="136"/>
      <c r="S129" s="137"/>
      <c r="T129" s="129"/>
      <c r="U129" s="130"/>
      <c r="V129" s="138"/>
      <c r="W129" s="138"/>
    </row>
    <row r="130" spans="1:24" x14ac:dyDescent="0.35">
      <c r="A130" s="132"/>
      <c r="B130" s="133"/>
      <c r="C130" s="134"/>
      <c r="D130" s="134"/>
      <c r="E130" s="134"/>
      <c r="F130" s="134"/>
      <c r="G130" s="135"/>
      <c r="H130" s="136"/>
      <c r="I130" s="137"/>
      <c r="J130" s="136"/>
      <c r="K130" s="126" t="s">
        <v>475</v>
      </c>
      <c r="L130" s="133"/>
      <c r="M130" s="134">
        <v>7190</v>
      </c>
      <c r="N130" s="134">
        <v>0</v>
      </c>
      <c r="O130" s="134">
        <v>0</v>
      </c>
      <c r="P130" s="134">
        <v>0</v>
      </c>
      <c r="Q130" s="464">
        <f>SUM(M130:P130)</f>
        <v>7190</v>
      </c>
      <c r="R130" s="136">
        <v>1</v>
      </c>
      <c r="S130" s="137" t="s">
        <v>227</v>
      </c>
      <c r="T130" s="129">
        <f>SUM(Q130/R130)</f>
        <v>7190</v>
      </c>
      <c r="U130" s="130"/>
      <c r="V130" s="138"/>
      <c r="W130" s="138"/>
      <c r="X130" s="519"/>
    </row>
    <row r="131" spans="1:24" ht="18" customHeight="1" x14ac:dyDescent="0.35">
      <c r="A131" s="132"/>
      <c r="B131" s="133"/>
      <c r="C131" s="134"/>
      <c r="D131" s="134"/>
      <c r="E131" s="134"/>
      <c r="F131" s="134"/>
      <c r="G131" s="135"/>
      <c r="H131" s="136"/>
      <c r="I131" s="137"/>
      <c r="J131" s="136"/>
      <c r="K131" s="132"/>
      <c r="L131" s="133"/>
      <c r="M131" s="134"/>
      <c r="N131" s="134"/>
      <c r="O131" s="134"/>
      <c r="P131" s="134"/>
      <c r="Q131" s="135"/>
      <c r="R131" s="136"/>
      <c r="S131" s="137"/>
      <c r="T131" s="129"/>
      <c r="U131" s="130"/>
      <c r="V131" s="138"/>
      <c r="W131" s="138"/>
    </row>
    <row r="132" spans="1:24" ht="31.5" x14ac:dyDescent="0.35">
      <c r="A132" s="132"/>
      <c r="B132" s="133"/>
      <c r="C132" s="134"/>
      <c r="D132" s="134"/>
      <c r="E132" s="134"/>
      <c r="F132" s="134"/>
      <c r="G132" s="135"/>
      <c r="H132" s="136"/>
      <c r="I132" s="137"/>
      <c r="J132" s="136"/>
      <c r="K132" s="126" t="s">
        <v>449</v>
      </c>
      <c r="L132" s="133"/>
      <c r="M132" s="134">
        <v>19092389.139065448</v>
      </c>
      <c r="N132" s="134">
        <v>178429.96762630946</v>
      </c>
      <c r="O132" s="134">
        <v>164380.35243899727</v>
      </c>
      <c r="P132" s="134">
        <v>740034.55680266675</v>
      </c>
      <c r="Q132" s="464">
        <f>SUM(M132:P132)</f>
        <v>20175234.015933424</v>
      </c>
      <c r="R132" s="136">
        <v>125</v>
      </c>
      <c r="S132" s="137" t="s">
        <v>222</v>
      </c>
      <c r="T132" s="129">
        <f>SUM(Q132/R132)</f>
        <v>161401.87212746739</v>
      </c>
      <c r="U132" s="130"/>
      <c r="V132" s="131"/>
      <c r="W132" s="130"/>
      <c r="X132" s="519"/>
    </row>
    <row r="133" spans="1:24" ht="18" customHeight="1" x14ac:dyDescent="0.35">
      <c r="A133" s="132"/>
      <c r="B133" s="133"/>
      <c r="C133" s="134"/>
      <c r="D133" s="134"/>
      <c r="E133" s="134"/>
      <c r="F133" s="134"/>
      <c r="G133" s="135"/>
      <c r="H133" s="136"/>
      <c r="I133" s="137"/>
      <c r="J133" s="136"/>
      <c r="K133" s="132"/>
      <c r="L133" s="133"/>
      <c r="M133" s="134"/>
      <c r="N133" s="134"/>
      <c r="O133" s="134"/>
      <c r="P133" s="134"/>
      <c r="Q133" s="135"/>
      <c r="R133" s="136"/>
      <c r="S133" s="137"/>
      <c r="T133" s="129"/>
      <c r="U133" s="130"/>
      <c r="V133" s="131"/>
      <c r="W133" s="130"/>
    </row>
    <row r="134" spans="1:24" x14ac:dyDescent="0.35">
      <c r="A134" s="132"/>
      <c r="B134" s="133"/>
      <c r="C134" s="134"/>
      <c r="D134" s="134"/>
      <c r="E134" s="134"/>
      <c r="F134" s="134"/>
      <c r="G134" s="135"/>
      <c r="H134" s="136"/>
      <c r="I134" s="137"/>
      <c r="J134" s="136"/>
      <c r="K134" s="126" t="s">
        <v>450</v>
      </c>
      <c r="L134" s="133"/>
      <c r="M134" s="134">
        <v>2898398.7794351387</v>
      </c>
      <c r="N134" s="134">
        <v>288954.58757312055</v>
      </c>
      <c r="O134" s="134">
        <v>266202.23932121042</v>
      </c>
      <c r="P134" s="134">
        <v>1198433.1051307186</v>
      </c>
      <c r="Q134" s="464">
        <f>SUM(M134:P134)</f>
        <v>4651988.711460188</v>
      </c>
      <c r="R134" s="136">
        <v>8</v>
      </c>
      <c r="S134" s="137" t="s">
        <v>282</v>
      </c>
      <c r="T134" s="129">
        <f>SUM(Q134/R134)</f>
        <v>581498.5889325235</v>
      </c>
      <c r="U134" s="130"/>
      <c r="V134" s="131"/>
      <c r="W134" s="130"/>
      <c r="X134" s="519"/>
    </row>
    <row r="135" spans="1:24" ht="18" customHeight="1" x14ac:dyDescent="0.35">
      <c r="A135" s="132"/>
      <c r="B135" s="133"/>
      <c r="C135" s="134"/>
      <c r="D135" s="134"/>
      <c r="E135" s="134"/>
      <c r="F135" s="134"/>
      <c r="G135" s="135"/>
      <c r="H135" s="136"/>
      <c r="I135" s="137"/>
      <c r="J135" s="136"/>
      <c r="K135" s="132"/>
      <c r="L135" s="133"/>
      <c r="M135" s="134"/>
      <c r="N135" s="134"/>
      <c r="O135" s="134"/>
      <c r="P135" s="134"/>
      <c r="Q135" s="135"/>
      <c r="R135" s="136"/>
      <c r="S135" s="137"/>
      <c r="T135" s="129"/>
      <c r="U135" s="130"/>
      <c r="V135" s="131"/>
      <c r="W135" s="130"/>
    </row>
    <row r="136" spans="1:24" ht="47.25" x14ac:dyDescent="0.35">
      <c r="A136" s="126" t="s">
        <v>319</v>
      </c>
      <c r="B136" s="127">
        <f>4500000+5500000+596400</f>
        <v>10596400</v>
      </c>
      <c r="C136" s="128">
        <f>5748700.38775084+10596400</f>
        <v>16345100.38775084</v>
      </c>
      <c r="D136" s="128">
        <v>592479.55526724004</v>
      </c>
      <c r="E136" s="128">
        <v>520287.04696553241</v>
      </c>
      <c r="F136" s="128">
        <v>1250466.8694143514</v>
      </c>
      <c r="G136" s="123">
        <f>SUM(C136:F136)</f>
        <v>18708333.859397963</v>
      </c>
      <c r="H136" s="124">
        <v>95</v>
      </c>
      <c r="I136" s="125" t="s">
        <v>222</v>
      </c>
      <c r="J136" s="129">
        <f>SUM(G136/H136)</f>
        <v>196929.83009892592</v>
      </c>
      <c r="K136" s="126" t="s">
        <v>206</v>
      </c>
      <c r="L136" s="127">
        <f>4500000+5500000+596400</f>
        <v>10596400</v>
      </c>
      <c r="M136" s="128">
        <v>3247861.3179470501</v>
      </c>
      <c r="N136" s="128">
        <v>1546274.1237971948</v>
      </c>
      <c r="O136" s="128">
        <v>175778.03422185706</v>
      </c>
      <c r="P136" s="128">
        <v>601305.84050890699</v>
      </c>
      <c r="Q136" s="123">
        <f>SUM(M136:P136)</f>
        <v>5571219.3164750086</v>
      </c>
      <c r="R136" s="124">
        <v>98</v>
      </c>
      <c r="S136" s="125" t="s">
        <v>624</v>
      </c>
      <c r="T136" s="129">
        <f>SUM(Q136/R136)</f>
        <v>56849.176698724579</v>
      </c>
      <c r="U136" s="454"/>
      <c r="V136" s="454"/>
      <c r="W136" s="454"/>
      <c r="X136" s="519"/>
    </row>
    <row r="137" spans="1:24" ht="18" customHeight="1" x14ac:dyDescent="0.35">
      <c r="A137" s="126"/>
      <c r="B137" s="127"/>
      <c r="C137" s="128"/>
      <c r="D137" s="128"/>
      <c r="E137" s="128"/>
      <c r="F137" s="128"/>
      <c r="G137" s="123"/>
      <c r="H137" s="124"/>
      <c r="I137" s="125"/>
      <c r="J137" s="129"/>
      <c r="K137" s="126"/>
      <c r="L137" s="127"/>
      <c r="M137" s="128"/>
      <c r="N137" s="128"/>
      <c r="O137" s="128"/>
      <c r="P137" s="128"/>
      <c r="Q137" s="123"/>
      <c r="R137" s="124"/>
      <c r="S137" s="125"/>
      <c r="T137" s="129"/>
      <c r="U137" s="130"/>
      <c r="V137" s="131"/>
      <c r="W137" s="130"/>
    </row>
    <row r="138" spans="1:24" ht="31.5" x14ac:dyDescent="0.35">
      <c r="A138" s="126"/>
      <c r="B138" s="127"/>
      <c r="C138" s="128"/>
      <c r="D138" s="128"/>
      <c r="E138" s="128"/>
      <c r="F138" s="128"/>
      <c r="G138" s="123"/>
      <c r="H138" s="124"/>
      <c r="I138" s="125"/>
      <c r="J138" s="129"/>
      <c r="K138" s="126" t="s">
        <v>454</v>
      </c>
      <c r="L138" s="127"/>
      <c r="M138" s="128">
        <v>15007849.43517914</v>
      </c>
      <c r="N138" s="128">
        <v>1733251.3698751547</v>
      </c>
      <c r="O138" s="128">
        <v>194042.97198466398</v>
      </c>
      <c r="P138" s="128">
        <v>668636.13988236617</v>
      </c>
      <c r="Q138" s="123">
        <f>SUM(M138:P138)</f>
        <v>17603779.916921329</v>
      </c>
      <c r="R138" s="124">
        <v>34</v>
      </c>
      <c r="S138" s="125" t="s">
        <v>222</v>
      </c>
      <c r="T138" s="129">
        <f>SUM(Q138/R138)</f>
        <v>517758.23285062733</v>
      </c>
      <c r="U138" s="130"/>
      <c r="V138" s="131"/>
      <c r="W138" s="130"/>
      <c r="X138" s="519"/>
    </row>
    <row r="139" spans="1:24" ht="18" customHeight="1" x14ac:dyDescent="0.35">
      <c r="A139" s="126"/>
      <c r="B139" s="127"/>
      <c r="C139" s="128"/>
      <c r="D139" s="128"/>
      <c r="E139" s="128"/>
      <c r="F139" s="128"/>
      <c r="G139" s="123"/>
      <c r="H139" s="124"/>
      <c r="I139" s="125"/>
      <c r="J139" s="129"/>
      <c r="K139" s="126"/>
      <c r="L139" s="127"/>
      <c r="M139" s="128"/>
      <c r="N139" s="128"/>
      <c r="O139" s="128"/>
      <c r="P139" s="128"/>
      <c r="Q139" s="123"/>
      <c r="R139" s="124"/>
      <c r="S139" s="125"/>
      <c r="T139" s="129"/>
      <c r="U139" s="130"/>
      <c r="V139" s="131"/>
      <c r="W139" s="130"/>
    </row>
    <row r="140" spans="1:24" ht="31.5" x14ac:dyDescent="0.35">
      <c r="A140" s="136"/>
      <c r="B140" s="136"/>
      <c r="C140" s="138"/>
      <c r="D140" s="138"/>
      <c r="E140" s="138"/>
      <c r="F140" s="138"/>
      <c r="G140" s="138"/>
      <c r="H140" s="136"/>
      <c r="I140" s="136"/>
      <c r="J140" s="136"/>
      <c r="K140" s="136" t="s">
        <v>456</v>
      </c>
      <c r="L140" s="136"/>
      <c r="M140" s="130">
        <v>8613353.3028147053</v>
      </c>
      <c r="N140" s="130">
        <v>438105.06461750175</v>
      </c>
      <c r="O140" s="130">
        <v>5414769.2753099222</v>
      </c>
      <c r="P140" s="130">
        <v>400954.57307861064</v>
      </c>
      <c r="Q140" s="453">
        <f>SUM(M140:P140)</f>
        <v>14867182.215820739</v>
      </c>
      <c r="R140" s="136">
        <v>28</v>
      </c>
      <c r="S140" s="125" t="s">
        <v>222</v>
      </c>
      <c r="T140" s="129">
        <f>SUM(Q140/R140)</f>
        <v>530970.79342216928</v>
      </c>
      <c r="U140" s="130"/>
      <c r="V140" s="138"/>
      <c r="W140" s="138"/>
      <c r="X140" s="519"/>
    </row>
    <row r="141" spans="1:24" ht="18" customHeight="1" x14ac:dyDescent="0.35">
      <c r="A141" s="136"/>
      <c r="B141" s="136"/>
      <c r="C141" s="138"/>
      <c r="D141" s="138"/>
      <c r="E141" s="138"/>
      <c r="F141" s="138"/>
      <c r="G141" s="138"/>
      <c r="H141" s="136"/>
      <c r="I141" s="136"/>
      <c r="J141" s="136"/>
      <c r="K141" s="136"/>
      <c r="L141" s="136"/>
      <c r="M141" s="138"/>
      <c r="N141" s="138"/>
      <c r="O141" s="138"/>
      <c r="P141" s="138"/>
      <c r="Q141" s="138"/>
      <c r="R141" s="136"/>
      <c r="S141" s="136"/>
      <c r="T141" s="129"/>
      <c r="U141" s="130"/>
      <c r="V141" s="138"/>
      <c r="W141" s="138"/>
    </row>
    <row r="142" spans="1:24" ht="31.5" x14ac:dyDescent="0.35">
      <c r="A142" s="126" t="s">
        <v>314</v>
      </c>
      <c r="B142" s="127"/>
      <c r="C142" s="128">
        <v>14551288.685449565</v>
      </c>
      <c r="D142" s="128">
        <v>264519.25265718042</v>
      </c>
      <c r="E142" s="128">
        <v>176838.9348396569</v>
      </c>
      <c r="F142" s="128">
        <v>101664.93463392879</v>
      </c>
      <c r="G142" s="123">
        <f>SUM(C142:F142)</f>
        <v>15094311.807580331</v>
      </c>
      <c r="H142" s="124">
        <v>12</v>
      </c>
      <c r="I142" s="125" t="s">
        <v>222</v>
      </c>
      <c r="J142" s="129">
        <f>SUM(G142/H142)</f>
        <v>1257859.3172983609</v>
      </c>
      <c r="K142" s="126" t="s">
        <v>448</v>
      </c>
      <c r="L142" s="127"/>
      <c r="M142" s="128">
        <v>7335284.2126564542</v>
      </c>
      <c r="N142" s="128">
        <v>284703.55694048991</v>
      </c>
      <c r="O142" s="128">
        <v>2376443.2211099104</v>
      </c>
      <c r="P142" s="128">
        <v>200199.64226699385</v>
      </c>
      <c r="Q142" s="123">
        <f>SUM(M142:P142)</f>
        <v>10196630.632973848</v>
      </c>
      <c r="R142" s="124">
        <v>5</v>
      </c>
      <c r="S142" s="125" t="s">
        <v>311</v>
      </c>
      <c r="T142" s="129">
        <f>SUM(Q142/R142)</f>
        <v>2039326.1265947695</v>
      </c>
      <c r="U142" s="454"/>
      <c r="V142" s="454"/>
      <c r="W142" s="454"/>
      <c r="X142" s="519"/>
    </row>
    <row r="143" spans="1:24" ht="18" customHeight="1" x14ac:dyDescent="0.35">
      <c r="A143" s="126"/>
      <c r="B143" s="127"/>
      <c r="C143" s="128"/>
      <c r="D143" s="128"/>
      <c r="E143" s="128"/>
      <c r="F143" s="128"/>
      <c r="G143" s="123"/>
      <c r="H143" s="124"/>
      <c r="I143" s="125"/>
      <c r="J143" s="129"/>
      <c r="K143" s="126"/>
      <c r="L143" s="127"/>
      <c r="M143" s="128"/>
      <c r="N143" s="128"/>
      <c r="O143" s="128"/>
      <c r="P143" s="128"/>
      <c r="Q143" s="123"/>
      <c r="R143" s="124"/>
      <c r="S143" s="125"/>
      <c r="T143" s="129"/>
      <c r="U143" s="130"/>
      <c r="V143" s="138"/>
      <c r="W143" s="138"/>
    </row>
    <row r="144" spans="1:24" ht="31.5" x14ac:dyDescent="0.35">
      <c r="A144" s="126" t="s">
        <v>306</v>
      </c>
      <c r="B144" s="127"/>
      <c r="C144" s="128">
        <v>17061234.338196792</v>
      </c>
      <c r="D144" s="128">
        <v>221053.38224326097</v>
      </c>
      <c r="E144" s="128">
        <v>310169.34492342226</v>
      </c>
      <c r="F144" s="128">
        <v>1087572.1657116488</v>
      </c>
      <c r="G144" s="123">
        <f>SUM(C144:F144)</f>
        <v>18680029.231075123</v>
      </c>
      <c r="H144" s="124">
        <v>32</v>
      </c>
      <c r="I144" s="125" t="s">
        <v>222</v>
      </c>
      <c r="J144" s="129">
        <f>SUM(G144/H144)</f>
        <v>583750.91347109759</v>
      </c>
      <c r="K144" s="126" t="s">
        <v>207</v>
      </c>
      <c r="L144" s="127"/>
      <c r="M144" s="128">
        <v>14009994.271075357</v>
      </c>
      <c r="N144" s="128">
        <v>775121.84151491569</v>
      </c>
      <c r="O144" s="128">
        <v>9580135.6136364192</v>
      </c>
      <c r="P144" s="128">
        <v>709392.95650430594</v>
      </c>
      <c r="Q144" s="123">
        <f>SUM(M144:P144)</f>
        <v>25074644.682730999</v>
      </c>
      <c r="R144" s="124">
        <v>150</v>
      </c>
      <c r="S144" s="125" t="s">
        <v>222</v>
      </c>
      <c r="T144" s="129">
        <f>SUM(Q144/R144)</f>
        <v>167164.29788487332</v>
      </c>
      <c r="U144" s="130">
        <f>SUM(Q144-G144)*100/G144</f>
        <v>34.232363196831223</v>
      </c>
      <c r="V144" s="130">
        <f>SUM(R144-H144)*100/H144</f>
        <v>368.75</v>
      </c>
      <c r="W144" s="465">
        <f>SUM(T144-J144)*100/J144</f>
        <v>-71.363762518009338</v>
      </c>
      <c r="X144" s="519"/>
    </row>
    <row r="145" spans="1:24" ht="31.5" x14ac:dyDescent="0.35">
      <c r="A145" s="132"/>
      <c r="B145" s="133"/>
      <c r="C145" s="134"/>
      <c r="D145" s="134"/>
      <c r="E145" s="134"/>
      <c r="F145" s="134"/>
      <c r="G145" s="135"/>
      <c r="H145" s="136"/>
      <c r="I145" s="137"/>
      <c r="J145" s="136"/>
      <c r="K145" s="126" t="s">
        <v>208</v>
      </c>
      <c r="L145" s="133"/>
      <c r="M145" s="134">
        <v>9074401.789646389</v>
      </c>
      <c r="N145" s="134">
        <v>499265.03090313589</v>
      </c>
      <c r="O145" s="134">
        <v>6170677.236820424</v>
      </c>
      <c r="P145" s="134">
        <v>456928.28840867302</v>
      </c>
      <c r="Q145" s="123">
        <f>SUM(M145:P145)</f>
        <v>16201272.345778622</v>
      </c>
      <c r="R145" s="136">
        <v>65</v>
      </c>
      <c r="S145" s="137" t="s">
        <v>222</v>
      </c>
      <c r="T145" s="129">
        <f t="shared" ref="T145:T197" si="2">SUM(Q145/R145)</f>
        <v>249250.34378120955</v>
      </c>
      <c r="U145" s="130"/>
      <c r="V145" s="138"/>
      <c r="W145" s="131"/>
    </row>
    <row r="146" spans="1:24" ht="18" customHeight="1" x14ac:dyDescent="0.35">
      <c r="A146" s="132"/>
      <c r="B146" s="133"/>
      <c r="C146" s="134"/>
      <c r="D146" s="134"/>
      <c r="E146" s="134"/>
      <c r="F146" s="134"/>
      <c r="G146" s="135"/>
      <c r="H146" s="136"/>
      <c r="I146" s="137"/>
      <c r="J146" s="136"/>
      <c r="K146" s="132"/>
      <c r="L146" s="133"/>
      <c r="M146" s="134"/>
      <c r="N146" s="134"/>
      <c r="O146" s="134"/>
      <c r="P146" s="134"/>
      <c r="Q146" s="135"/>
      <c r="R146" s="136"/>
      <c r="S146" s="137"/>
      <c r="T146" s="129"/>
      <c r="U146" s="130"/>
      <c r="V146" s="138"/>
      <c r="W146" s="131"/>
    </row>
    <row r="147" spans="1:24" ht="47.25" x14ac:dyDescent="0.35">
      <c r="A147" s="126" t="s">
        <v>309</v>
      </c>
      <c r="B147" s="127"/>
      <c r="C147" s="128">
        <v>38929633.958196789</v>
      </c>
      <c r="D147" s="128">
        <v>221053.38224326097</v>
      </c>
      <c r="E147" s="128">
        <v>310169.34492342226</v>
      </c>
      <c r="F147" s="128">
        <v>1087572.1657116488</v>
      </c>
      <c r="G147" s="123">
        <f>SUM(C147:F147)</f>
        <v>40548428.85107512</v>
      </c>
      <c r="H147" s="124">
        <v>1</v>
      </c>
      <c r="I147" s="125" t="s">
        <v>222</v>
      </c>
      <c r="J147" s="129">
        <f>SUM(G147/H147)</f>
        <v>40548428.85107512</v>
      </c>
      <c r="K147" s="126" t="s">
        <v>487</v>
      </c>
      <c r="L147" s="127"/>
      <c r="M147" s="128">
        <v>43241924.12718527</v>
      </c>
      <c r="N147" s="128">
        <v>1150306.6312008251</v>
      </c>
      <c r="O147" s="128">
        <v>14217240.353634257</v>
      </c>
      <c r="P147" s="128">
        <v>1052762.7764935826</v>
      </c>
      <c r="Q147" s="123">
        <f>SUM(M147:P147)</f>
        <v>59662233.888513938</v>
      </c>
      <c r="R147" s="124">
        <v>3</v>
      </c>
      <c r="S147" s="125" t="s">
        <v>222</v>
      </c>
      <c r="T147" s="129">
        <f>SUM(Q147/R147)</f>
        <v>19887411.296171311</v>
      </c>
      <c r="U147" s="454">
        <f>SUM(Q147-G147)*100/G147</f>
        <v>47.138213684281936</v>
      </c>
      <c r="V147" s="454">
        <f>SUM(R147-H147)*100/H147</f>
        <v>200</v>
      </c>
      <c r="W147" s="452">
        <f>SUM(T147-J147)*100/J147</f>
        <v>-50.953928771906028</v>
      </c>
      <c r="X147" s="519"/>
    </row>
    <row r="148" spans="1:24" ht="18" customHeight="1" x14ac:dyDescent="0.35">
      <c r="A148" s="132"/>
      <c r="B148" s="133"/>
      <c r="C148" s="134"/>
      <c r="D148" s="134"/>
      <c r="E148" s="134"/>
      <c r="F148" s="134"/>
      <c r="G148" s="135"/>
      <c r="H148" s="136"/>
      <c r="I148" s="137"/>
      <c r="J148" s="136"/>
      <c r="K148" s="132"/>
      <c r="L148" s="133"/>
      <c r="M148" s="134"/>
      <c r="N148" s="134"/>
      <c r="O148" s="134"/>
      <c r="P148" s="134"/>
      <c r="Q148" s="135"/>
      <c r="R148" s="136"/>
      <c r="S148" s="137"/>
      <c r="T148" s="129"/>
      <c r="U148" s="130"/>
      <c r="V148" s="138"/>
      <c r="W148" s="131"/>
    </row>
    <row r="149" spans="1:24" ht="31.5" x14ac:dyDescent="0.35">
      <c r="A149" s="136"/>
      <c r="B149" s="136"/>
      <c r="C149" s="138"/>
      <c r="D149" s="138"/>
      <c r="E149" s="138"/>
      <c r="F149" s="138"/>
      <c r="G149" s="138"/>
      <c r="H149" s="136"/>
      <c r="I149" s="136"/>
      <c r="J149" s="136"/>
      <c r="K149" s="136" t="s">
        <v>468</v>
      </c>
      <c r="L149" s="136"/>
      <c r="M149" s="130">
        <v>2761445.0999999996</v>
      </c>
      <c r="N149" s="130">
        <v>0</v>
      </c>
      <c r="O149" s="130">
        <v>0</v>
      </c>
      <c r="P149" s="130">
        <v>0</v>
      </c>
      <c r="Q149" s="453">
        <f>SUM(M149:P149)</f>
        <v>2761445.0999999996</v>
      </c>
      <c r="R149" s="136">
        <v>1</v>
      </c>
      <c r="S149" s="125" t="s">
        <v>222</v>
      </c>
      <c r="T149" s="129">
        <f>SUM(Q149/R149)</f>
        <v>2761445.0999999996</v>
      </c>
      <c r="U149" s="130"/>
      <c r="V149" s="138"/>
      <c r="W149" s="138"/>
      <c r="X149" s="519"/>
    </row>
    <row r="150" spans="1:24" ht="18" customHeight="1" x14ac:dyDescent="0.35">
      <c r="A150" s="136"/>
      <c r="B150" s="136"/>
      <c r="C150" s="138"/>
      <c r="D150" s="138"/>
      <c r="E150" s="138"/>
      <c r="F150" s="138"/>
      <c r="G150" s="138"/>
      <c r="H150" s="136"/>
      <c r="I150" s="136"/>
      <c r="J150" s="136"/>
      <c r="K150" s="136"/>
      <c r="L150" s="136"/>
      <c r="M150" s="138"/>
      <c r="N150" s="138"/>
      <c r="O150" s="138"/>
      <c r="P150" s="138"/>
      <c r="Q150" s="138"/>
      <c r="R150" s="136"/>
      <c r="S150" s="136"/>
      <c r="T150" s="129"/>
      <c r="U150" s="130"/>
      <c r="V150" s="138"/>
      <c r="W150" s="138"/>
    </row>
    <row r="151" spans="1:24" ht="47.25" x14ac:dyDescent="0.35">
      <c r="A151" s="136"/>
      <c r="B151" s="136"/>
      <c r="C151" s="138"/>
      <c r="D151" s="138"/>
      <c r="E151" s="138"/>
      <c r="F151" s="138"/>
      <c r="G151" s="138"/>
      <c r="H151" s="136"/>
      <c r="I151" s="136"/>
      <c r="J151" s="136"/>
      <c r="K151" s="136" t="s">
        <v>469</v>
      </c>
      <c r="L151" s="136"/>
      <c r="M151" s="130">
        <v>8706614.2774732783</v>
      </c>
      <c r="N151" s="130">
        <v>1811018.1220858952</v>
      </c>
      <c r="O151" s="130">
        <v>1398382.5991758395</v>
      </c>
      <c r="P151" s="130">
        <v>3326279.6626040507</v>
      </c>
      <c r="Q151" s="453">
        <f>SUM(M151:P151)</f>
        <v>15242294.661339063</v>
      </c>
      <c r="R151" s="136">
        <v>15</v>
      </c>
      <c r="S151" s="125" t="s">
        <v>222</v>
      </c>
      <c r="T151" s="129">
        <f>SUM(Q151/R151)</f>
        <v>1016152.9774226042</v>
      </c>
      <c r="U151" s="130"/>
      <c r="V151" s="138"/>
      <c r="W151" s="138"/>
      <c r="X151" s="519"/>
    </row>
    <row r="152" spans="1:24" ht="18" customHeight="1" x14ac:dyDescent="0.35">
      <c r="A152" s="136"/>
      <c r="B152" s="136"/>
      <c r="C152" s="138"/>
      <c r="D152" s="138"/>
      <c r="E152" s="138"/>
      <c r="F152" s="138"/>
      <c r="G152" s="138"/>
      <c r="H152" s="136"/>
      <c r="I152" s="136"/>
      <c r="J152" s="136"/>
      <c r="K152" s="136"/>
      <c r="L152" s="136"/>
      <c r="M152" s="138"/>
      <c r="N152" s="138"/>
      <c r="O152" s="138"/>
      <c r="P152" s="138"/>
      <c r="Q152" s="138"/>
      <c r="R152" s="136"/>
      <c r="S152" s="136"/>
      <c r="T152" s="129"/>
      <c r="U152" s="130"/>
      <c r="V152" s="138"/>
      <c r="W152" s="138"/>
    </row>
    <row r="153" spans="1:24" ht="47.25" x14ac:dyDescent="0.35">
      <c r="A153" s="136"/>
      <c r="B153" s="136"/>
      <c r="C153" s="138"/>
      <c r="D153" s="138"/>
      <c r="E153" s="138"/>
      <c r="F153" s="138"/>
      <c r="G153" s="138"/>
      <c r="H153" s="136"/>
      <c r="I153" s="136"/>
      <c r="J153" s="136"/>
      <c r="K153" s="136" t="s">
        <v>470</v>
      </c>
      <c r="L153" s="136"/>
      <c r="M153" s="130">
        <v>20628.612659547543</v>
      </c>
      <c r="N153" s="130">
        <v>3175.3440928129248</v>
      </c>
      <c r="O153" s="130">
        <v>2451.8506312190193</v>
      </c>
      <c r="P153" s="130">
        <v>5832.1241233789215</v>
      </c>
      <c r="Q153" s="453">
        <f>SUM(M153:P153)</f>
        <v>32087.931506958408</v>
      </c>
      <c r="R153" s="136">
        <v>5</v>
      </c>
      <c r="S153" s="125" t="s">
        <v>222</v>
      </c>
      <c r="T153" s="129">
        <f>SUM(Q153/R153)</f>
        <v>6417.5863013916814</v>
      </c>
      <c r="U153" s="130"/>
      <c r="V153" s="138"/>
      <c r="W153" s="138"/>
      <c r="X153" s="519"/>
    </row>
    <row r="154" spans="1:24" ht="18" customHeight="1" x14ac:dyDescent="0.35">
      <c r="A154" s="136"/>
      <c r="B154" s="136"/>
      <c r="C154" s="138"/>
      <c r="D154" s="138"/>
      <c r="E154" s="138"/>
      <c r="F154" s="138"/>
      <c r="G154" s="138"/>
      <c r="H154" s="136"/>
      <c r="I154" s="136"/>
      <c r="J154" s="136"/>
      <c r="K154" s="136"/>
      <c r="L154" s="136"/>
      <c r="M154" s="138"/>
      <c r="N154" s="138"/>
      <c r="O154" s="138"/>
      <c r="P154" s="138"/>
      <c r="Q154" s="138"/>
      <c r="R154" s="136"/>
      <c r="S154" s="136"/>
      <c r="T154" s="129"/>
      <c r="U154" s="130"/>
      <c r="V154" s="138"/>
      <c r="W154" s="138"/>
    </row>
    <row r="155" spans="1:24" ht="31.5" x14ac:dyDescent="0.35">
      <c r="A155" s="136"/>
      <c r="B155" s="136"/>
      <c r="C155" s="138"/>
      <c r="D155" s="138"/>
      <c r="E155" s="138"/>
      <c r="F155" s="138"/>
      <c r="G155" s="138"/>
      <c r="H155" s="136"/>
      <c r="I155" s="136"/>
      <c r="J155" s="136"/>
      <c r="K155" s="136" t="s">
        <v>471</v>
      </c>
      <c r="L155" s="136"/>
      <c r="M155" s="130">
        <v>1653299.2466557766</v>
      </c>
      <c r="N155" s="130">
        <v>273679.37546909804</v>
      </c>
      <c r="O155" s="130">
        <v>211322.2787458922</v>
      </c>
      <c r="P155" s="130">
        <v>502664.29120462574</v>
      </c>
      <c r="Q155" s="453">
        <f>SUM(M155:P155)</f>
        <v>2640965.1920753927</v>
      </c>
      <c r="R155" s="136">
        <v>17</v>
      </c>
      <c r="S155" s="125" t="s">
        <v>222</v>
      </c>
      <c r="T155" s="129">
        <f>SUM(Q155/R155)</f>
        <v>155350.89365149368</v>
      </c>
      <c r="U155" s="130"/>
      <c r="V155" s="138"/>
      <c r="W155" s="138"/>
      <c r="X155" s="519"/>
    </row>
    <row r="156" spans="1:24" ht="18" customHeight="1" x14ac:dyDescent="0.35">
      <c r="A156" s="136"/>
      <c r="B156" s="136"/>
      <c r="C156" s="138"/>
      <c r="D156" s="138"/>
      <c r="E156" s="138"/>
      <c r="F156" s="138"/>
      <c r="G156" s="138"/>
      <c r="H156" s="136"/>
      <c r="I156" s="136"/>
      <c r="J156" s="136"/>
      <c r="K156" s="136"/>
      <c r="L156" s="136"/>
      <c r="M156" s="138"/>
      <c r="N156" s="138"/>
      <c r="O156" s="138"/>
      <c r="P156" s="138"/>
      <c r="Q156" s="138"/>
      <c r="R156" s="136"/>
      <c r="S156" s="136"/>
      <c r="T156" s="129"/>
      <c r="U156" s="130"/>
      <c r="V156" s="138"/>
      <c r="W156" s="138"/>
    </row>
    <row r="157" spans="1:24" ht="47.25" x14ac:dyDescent="0.35">
      <c r="A157" s="136"/>
      <c r="B157" s="136"/>
      <c r="C157" s="138"/>
      <c r="D157" s="138"/>
      <c r="E157" s="138"/>
      <c r="F157" s="138"/>
      <c r="G157" s="138"/>
      <c r="H157" s="136"/>
      <c r="I157" s="136"/>
      <c r="J157" s="136"/>
      <c r="K157" s="136" t="s">
        <v>472</v>
      </c>
      <c r="L157" s="136"/>
      <c r="M157" s="130">
        <v>1291463.3741737336</v>
      </c>
      <c r="N157" s="130">
        <v>208057.38811646387</v>
      </c>
      <c r="O157" s="130">
        <v>160652.08162408319</v>
      </c>
      <c r="P157" s="130">
        <v>382137.0147026545</v>
      </c>
      <c r="Q157" s="453">
        <f>SUM(M157:P157)</f>
        <v>2042309.8586169351</v>
      </c>
      <c r="R157" s="136">
        <v>4</v>
      </c>
      <c r="S157" s="125" t="s">
        <v>222</v>
      </c>
      <c r="T157" s="129">
        <f t="shared" si="2"/>
        <v>510577.46465423377</v>
      </c>
      <c r="U157" s="130"/>
      <c r="V157" s="138"/>
      <c r="W157" s="138"/>
      <c r="X157" s="519"/>
    </row>
    <row r="158" spans="1:24" ht="18" customHeight="1" x14ac:dyDescent="0.35">
      <c r="A158" s="136"/>
      <c r="B158" s="136"/>
      <c r="C158" s="138"/>
      <c r="D158" s="138"/>
      <c r="E158" s="138"/>
      <c r="F158" s="138"/>
      <c r="G158" s="138"/>
      <c r="H158" s="136"/>
      <c r="I158" s="136"/>
      <c r="J158" s="136"/>
      <c r="K158" s="136"/>
      <c r="L158" s="136"/>
      <c r="M158" s="138"/>
      <c r="N158" s="138"/>
      <c r="O158" s="138"/>
      <c r="P158" s="138"/>
      <c r="Q158" s="138"/>
      <c r="R158" s="136"/>
      <c r="S158" s="136"/>
      <c r="T158" s="129"/>
      <c r="U158" s="130"/>
      <c r="V158" s="138"/>
      <c r="W158" s="138"/>
    </row>
    <row r="159" spans="1:24" ht="21.95" customHeight="1" x14ac:dyDescent="0.35">
      <c r="A159" s="126" t="s">
        <v>315</v>
      </c>
      <c r="B159" s="127"/>
      <c r="C159" s="128">
        <v>12866560.238723138</v>
      </c>
      <c r="D159" s="128">
        <v>52820.172047533189</v>
      </c>
      <c r="E159" s="128">
        <v>47703.099531797299</v>
      </c>
      <c r="F159" s="128">
        <v>110979.26593056125</v>
      </c>
      <c r="G159" s="123">
        <f>SUM(C159:F159)</f>
        <v>13078062.77623303</v>
      </c>
      <c r="H159" s="124">
        <v>22</v>
      </c>
      <c r="I159" s="125" t="s">
        <v>222</v>
      </c>
      <c r="J159" s="129">
        <f>SUM(G159/H159)</f>
        <v>594457.39891968318</v>
      </c>
      <c r="K159" s="126"/>
      <c r="L159" s="127"/>
      <c r="M159" s="128"/>
      <c r="N159" s="128"/>
      <c r="O159" s="128"/>
      <c r="P159" s="128"/>
      <c r="Q159" s="123"/>
      <c r="R159" s="124"/>
      <c r="S159" s="125"/>
      <c r="T159" s="129"/>
      <c r="U159" s="130"/>
      <c r="V159" s="138"/>
      <c r="W159" s="138"/>
    </row>
    <row r="160" spans="1:24" ht="18" customHeight="1" x14ac:dyDescent="0.35">
      <c r="A160" s="126"/>
      <c r="B160" s="127"/>
      <c r="C160" s="128"/>
      <c r="D160" s="128"/>
      <c r="E160" s="128"/>
      <c r="F160" s="128"/>
      <c r="G160" s="123"/>
      <c r="H160" s="124"/>
      <c r="I160" s="125"/>
      <c r="J160" s="129"/>
      <c r="K160" s="126"/>
      <c r="L160" s="127"/>
      <c r="M160" s="128"/>
      <c r="N160" s="128"/>
      <c r="O160" s="128"/>
      <c r="P160" s="128"/>
      <c r="Q160" s="123"/>
      <c r="R160" s="124"/>
      <c r="S160" s="125"/>
      <c r="T160" s="129"/>
      <c r="U160" s="130"/>
      <c r="V160" s="138"/>
      <c r="W160" s="138"/>
    </row>
    <row r="161" spans="1:24" ht="31.5" x14ac:dyDescent="0.35">
      <c r="A161" s="126" t="s">
        <v>316</v>
      </c>
      <c r="B161" s="127"/>
      <c r="C161" s="128">
        <v>1867865.8103899464</v>
      </c>
      <c r="D161" s="128">
        <v>51309.737781640746</v>
      </c>
      <c r="E161" s="128">
        <v>36663.096699740621</v>
      </c>
      <c r="F161" s="128">
        <v>27396.662930802275</v>
      </c>
      <c r="G161" s="123">
        <f>SUM(C161:F161)</f>
        <v>1983235.3078021302</v>
      </c>
      <c r="H161" s="124">
        <v>163</v>
      </c>
      <c r="I161" s="125" t="s">
        <v>222</v>
      </c>
      <c r="J161" s="129">
        <f>SUM(G161/H161)</f>
        <v>12167.08777792718</v>
      </c>
      <c r="K161" s="126"/>
      <c r="L161" s="127"/>
      <c r="M161" s="128"/>
      <c r="N161" s="128"/>
      <c r="O161" s="128"/>
      <c r="P161" s="128"/>
      <c r="Q161" s="123"/>
      <c r="R161" s="124"/>
      <c r="S161" s="125"/>
      <c r="T161" s="129"/>
      <c r="U161" s="130"/>
      <c r="V161" s="138"/>
      <c r="W161" s="138"/>
    </row>
    <row r="162" spans="1:24" ht="18" customHeight="1" x14ac:dyDescent="0.35">
      <c r="A162" s="136"/>
      <c r="B162" s="136"/>
      <c r="C162" s="138"/>
      <c r="D162" s="138"/>
      <c r="E162" s="138"/>
      <c r="F162" s="138"/>
      <c r="G162" s="138"/>
      <c r="H162" s="136"/>
      <c r="I162" s="136"/>
      <c r="J162" s="136"/>
      <c r="K162" s="136"/>
      <c r="L162" s="136"/>
      <c r="M162" s="138"/>
      <c r="N162" s="138"/>
      <c r="O162" s="138"/>
      <c r="P162" s="138"/>
      <c r="Q162" s="138"/>
      <c r="R162" s="136"/>
      <c r="S162" s="136"/>
      <c r="T162" s="129"/>
      <c r="U162" s="130"/>
      <c r="V162" s="138"/>
      <c r="W162" s="138"/>
    </row>
    <row r="163" spans="1:24" ht="47.25" x14ac:dyDescent="0.35">
      <c r="A163" s="126" t="s">
        <v>328</v>
      </c>
      <c r="B163" s="127"/>
      <c r="C163" s="128">
        <v>9432777.7199999988</v>
      </c>
      <c r="D163" s="134">
        <v>0</v>
      </c>
      <c r="E163" s="134">
        <v>0</v>
      </c>
      <c r="F163" s="134">
        <v>0</v>
      </c>
      <c r="G163" s="123">
        <f>SUM(C163:F163)</f>
        <v>9432777.7199999988</v>
      </c>
      <c r="H163" s="124"/>
      <c r="I163" s="125" t="s">
        <v>222</v>
      </c>
      <c r="J163" s="129" t="e">
        <f>SUM(G163/H163)</f>
        <v>#DIV/0!</v>
      </c>
      <c r="K163" s="126"/>
      <c r="L163" s="127"/>
      <c r="M163" s="128"/>
      <c r="N163" s="134"/>
      <c r="O163" s="134"/>
      <c r="P163" s="134"/>
      <c r="Q163" s="123"/>
      <c r="R163" s="124"/>
      <c r="S163" s="125"/>
      <c r="T163" s="129"/>
      <c r="U163" s="130"/>
      <c r="V163" s="138"/>
      <c r="W163" s="138"/>
    </row>
    <row r="164" spans="1:24" ht="18" customHeight="1" x14ac:dyDescent="0.35">
      <c r="A164" s="126"/>
      <c r="B164" s="127"/>
      <c r="C164" s="128"/>
      <c r="D164" s="134"/>
      <c r="E164" s="134"/>
      <c r="F164" s="134"/>
      <c r="G164" s="123"/>
      <c r="H164" s="124"/>
      <c r="I164" s="125"/>
      <c r="J164" s="129"/>
      <c r="K164" s="126"/>
      <c r="L164" s="127"/>
      <c r="M164" s="128"/>
      <c r="N164" s="134"/>
      <c r="O164" s="134"/>
      <c r="P164" s="134"/>
      <c r="Q164" s="123"/>
      <c r="R164" s="124"/>
      <c r="S164" s="125"/>
      <c r="T164" s="129"/>
      <c r="U164" s="130"/>
      <c r="V164" s="138"/>
      <c r="W164" s="138"/>
    </row>
    <row r="165" spans="1:24" x14ac:dyDescent="0.35">
      <c r="A165" s="126" t="s">
        <v>209</v>
      </c>
      <c r="B165" s="127"/>
      <c r="C165" s="128">
        <v>930831.4905595883</v>
      </c>
      <c r="D165" s="128">
        <v>174330.85890978531</v>
      </c>
      <c r="E165" s="128">
        <v>120004.10925339593</v>
      </c>
      <c r="F165" s="128">
        <v>155808.57256983855</v>
      </c>
      <c r="G165" s="123">
        <f>SUM(C165:F165)</f>
        <v>1380975.0312926082</v>
      </c>
      <c r="H165" s="124">
        <v>11</v>
      </c>
      <c r="I165" s="125" t="s">
        <v>222</v>
      </c>
      <c r="J165" s="129">
        <f>SUM(G165/H165)</f>
        <v>125543.18466296438</v>
      </c>
      <c r="K165" s="126" t="s">
        <v>209</v>
      </c>
      <c r="L165" s="127">
        <v>3987968.9</v>
      </c>
      <c r="M165" s="128">
        <v>2138484.5406741542</v>
      </c>
      <c r="N165" s="128">
        <v>192914.05943332164</v>
      </c>
      <c r="O165" s="128">
        <v>1169879.407246728</v>
      </c>
      <c r="P165" s="128">
        <v>101397.27310377196</v>
      </c>
      <c r="Q165" s="123">
        <f>SUM(M165:P165)</f>
        <v>3602675.2804579753</v>
      </c>
      <c r="R165" s="124">
        <v>12</v>
      </c>
      <c r="S165" s="125" t="s">
        <v>222</v>
      </c>
      <c r="T165" s="129">
        <f>SUM(Q165/R165)</f>
        <v>300222.94003816461</v>
      </c>
      <c r="U165" s="454">
        <f>SUM(Q165-G165)*100/G165</f>
        <v>160.8791034466301</v>
      </c>
      <c r="V165" s="454">
        <f>SUM(R165-H165)*100/H165</f>
        <v>9.0909090909090917</v>
      </c>
      <c r="W165" s="452">
        <f>SUM(T165-J165)*100/J165</f>
        <v>139.1391781594109</v>
      </c>
      <c r="X165" s="519"/>
    </row>
    <row r="166" spans="1:24" ht="18" customHeight="1" x14ac:dyDescent="0.35">
      <c r="A166" s="136"/>
      <c r="B166" s="136"/>
      <c r="C166" s="138"/>
      <c r="D166" s="138"/>
      <c r="E166" s="138"/>
      <c r="F166" s="138"/>
      <c r="G166" s="138"/>
      <c r="H166" s="136"/>
      <c r="I166" s="136"/>
      <c r="J166" s="136"/>
      <c r="K166" s="136"/>
      <c r="L166" s="136"/>
      <c r="M166" s="138"/>
      <c r="N166" s="138"/>
      <c r="O166" s="138"/>
      <c r="P166" s="138"/>
      <c r="Q166" s="138"/>
      <c r="R166" s="136"/>
      <c r="S166" s="136"/>
      <c r="T166" s="129"/>
      <c r="U166" s="130"/>
      <c r="V166" s="138"/>
      <c r="W166" s="130"/>
    </row>
    <row r="167" spans="1:24" ht="31.5" x14ac:dyDescent="0.35">
      <c r="A167" s="126" t="s">
        <v>210</v>
      </c>
      <c r="B167" s="127"/>
      <c r="C167" s="128">
        <v>5405022.7035336122</v>
      </c>
      <c r="D167" s="128">
        <v>712342.02893296373</v>
      </c>
      <c r="E167" s="128">
        <v>577354.18435370154</v>
      </c>
      <c r="F167" s="128">
        <v>507080.10212209716</v>
      </c>
      <c r="G167" s="123">
        <f>SUM(C167:F167)</f>
        <v>7201799.0189423747</v>
      </c>
      <c r="H167" s="124">
        <v>169</v>
      </c>
      <c r="I167" s="125" t="s">
        <v>282</v>
      </c>
      <c r="J167" s="129">
        <f>SUM(G167/H167)</f>
        <v>42614.195378357246</v>
      </c>
      <c r="K167" s="126" t="s">
        <v>210</v>
      </c>
      <c r="L167" s="127"/>
      <c r="M167" s="128">
        <v>1596167.8930071821</v>
      </c>
      <c r="N167" s="128">
        <v>838254.60536406445</v>
      </c>
      <c r="O167" s="128">
        <v>114285.14493661042</v>
      </c>
      <c r="P167" s="128">
        <v>132773.0098937522</v>
      </c>
      <c r="Q167" s="123">
        <f>SUM(M167:P167)</f>
        <v>2681480.6532016089</v>
      </c>
      <c r="R167" s="124">
        <v>33</v>
      </c>
      <c r="S167" s="125" t="s">
        <v>222</v>
      </c>
      <c r="T167" s="129">
        <f>SUM(Q167/R167)</f>
        <v>81256.989490957843</v>
      </c>
      <c r="U167" s="454"/>
      <c r="V167" s="454"/>
      <c r="W167" s="454"/>
      <c r="X167" s="519"/>
    </row>
    <row r="168" spans="1:24" ht="18" customHeight="1" x14ac:dyDescent="0.35">
      <c r="A168" s="136"/>
      <c r="B168" s="136"/>
      <c r="C168" s="138"/>
      <c r="D168" s="138"/>
      <c r="E168" s="138"/>
      <c r="F168" s="138"/>
      <c r="G168" s="138"/>
      <c r="H168" s="136"/>
      <c r="I168" s="136"/>
      <c r="J168" s="136"/>
      <c r="K168" s="136"/>
      <c r="L168" s="136"/>
      <c r="M168" s="138"/>
      <c r="N168" s="138"/>
      <c r="O168" s="138"/>
      <c r="P168" s="138"/>
      <c r="Q168" s="138"/>
      <c r="R168" s="136"/>
      <c r="S168" s="136"/>
      <c r="T168" s="129"/>
      <c r="U168" s="130"/>
      <c r="V168" s="138"/>
      <c r="W168" s="138"/>
    </row>
    <row r="169" spans="1:24" ht="31.5" x14ac:dyDescent="0.35">
      <c r="A169" s="136" t="s">
        <v>333</v>
      </c>
      <c r="B169" s="136"/>
      <c r="C169" s="130">
        <v>6714468.3441394242</v>
      </c>
      <c r="D169" s="130">
        <v>705113.65099223168</v>
      </c>
      <c r="E169" s="130">
        <v>602811.00732619979</v>
      </c>
      <c r="F169" s="130">
        <v>952918.98199596186</v>
      </c>
      <c r="G169" s="453">
        <v>8975311.9844538178</v>
      </c>
      <c r="H169" s="136">
        <v>25</v>
      </c>
      <c r="I169" s="136" t="s">
        <v>222</v>
      </c>
      <c r="J169" s="129">
        <v>359012.4793781527</v>
      </c>
      <c r="K169" s="136" t="s">
        <v>466</v>
      </c>
      <c r="L169" s="136"/>
      <c r="M169" s="130">
        <v>8820306.5433751699</v>
      </c>
      <c r="N169" s="130">
        <v>6023304.7721420899</v>
      </c>
      <c r="O169" s="130">
        <v>915995.37745186919</v>
      </c>
      <c r="P169" s="130">
        <v>1388212.9122048304</v>
      </c>
      <c r="Q169" s="453">
        <f>SUM(M169:P169)</f>
        <v>17147819.60517396</v>
      </c>
      <c r="R169" s="136">
        <v>55</v>
      </c>
      <c r="S169" s="125" t="s">
        <v>222</v>
      </c>
      <c r="T169" s="129">
        <f>SUM(Q169/R169)</f>
        <v>311778.53827589017</v>
      </c>
      <c r="U169" s="454">
        <f>SUM(Q169-G169)*100/G169</f>
        <v>91.055415509519705</v>
      </c>
      <c r="V169" s="454">
        <f>SUM(R169-H169)*100/H169</f>
        <v>120</v>
      </c>
      <c r="W169" s="454">
        <f>SUM(T169-J169)*100/J169</f>
        <v>-13.156629313854681</v>
      </c>
      <c r="X169" s="519"/>
    </row>
    <row r="170" spans="1:24" ht="18" customHeight="1" x14ac:dyDescent="0.35">
      <c r="A170" s="136"/>
      <c r="B170" s="136"/>
      <c r="C170" s="138"/>
      <c r="D170" s="138"/>
      <c r="E170" s="138"/>
      <c r="F170" s="138"/>
      <c r="G170" s="138"/>
      <c r="H170" s="136"/>
      <c r="I170" s="136"/>
      <c r="J170" s="136"/>
      <c r="K170" s="136"/>
      <c r="L170" s="136"/>
      <c r="M170" s="138"/>
      <c r="N170" s="138"/>
      <c r="O170" s="138"/>
      <c r="P170" s="138"/>
      <c r="Q170" s="138"/>
      <c r="R170" s="136"/>
      <c r="S170" s="136"/>
      <c r="T170" s="129"/>
      <c r="U170" s="130"/>
      <c r="V170" s="138"/>
      <c r="W170" s="138"/>
    </row>
    <row r="171" spans="1:24" ht="31.5" x14ac:dyDescent="0.35">
      <c r="A171" s="126" t="s">
        <v>320</v>
      </c>
      <c r="B171" s="127">
        <f>3987968.9</f>
        <v>3987968.9</v>
      </c>
      <c r="C171" s="128">
        <f>6468323.6816597+3987968.9</f>
        <v>10456292.581659701</v>
      </c>
      <c r="D171" s="128">
        <v>896785.20958370983</v>
      </c>
      <c r="E171" s="128">
        <v>770760.93839941465</v>
      </c>
      <c r="F171" s="128">
        <v>711592.9982714561</v>
      </c>
      <c r="G171" s="123">
        <f>SUM(C171:F171)</f>
        <v>12835431.727914281</v>
      </c>
      <c r="H171" s="124">
        <v>79</v>
      </c>
      <c r="I171" s="125" t="s">
        <v>222</v>
      </c>
      <c r="J171" s="129">
        <f>SUM(G171/H171)</f>
        <v>162473.8193406871</v>
      </c>
      <c r="K171" s="126" t="s">
        <v>455</v>
      </c>
      <c r="L171" s="127"/>
      <c r="M171" s="128">
        <v>10178518.05983413</v>
      </c>
      <c r="N171" s="128">
        <v>6117775.1849741088</v>
      </c>
      <c r="O171" s="128">
        <v>842007.00896013668</v>
      </c>
      <c r="P171" s="128">
        <v>1223252.4198988907</v>
      </c>
      <c r="Q171" s="123">
        <f>SUM(M171:P171)</f>
        <v>18361552.673667263</v>
      </c>
      <c r="R171" s="124">
        <v>47</v>
      </c>
      <c r="S171" s="125" t="s">
        <v>222</v>
      </c>
      <c r="T171" s="129">
        <f t="shared" si="2"/>
        <v>390671.33348228218</v>
      </c>
      <c r="U171" s="454">
        <f>SUM(Q171-G171)*100/G171</f>
        <v>43.05364293851423</v>
      </c>
      <c r="V171" s="454">
        <f>SUM(R171-H171)*100/H171</f>
        <v>-40.506329113924053</v>
      </c>
      <c r="W171" s="452">
        <f>SUM(T171-J171)*100/J171</f>
        <v>140.45186791792815</v>
      </c>
      <c r="X171" s="519"/>
    </row>
    <row r="172" spans="1:24" ht="18" customHeight="1" x14ac:dyDescent="0.35">
      <c r="A172" s="132"/>
      <c r="B172" s="133"/>
      <c r="C172" s="134"/>
      <c r="D172" s="134"/>
      <c r="E172" s="134"/>
      <c r="F172" s="134"/>
      <c r="G172" s="135"/>
      <c r="H172" s="136"/>
      <c r="I172" s="137"/>
      <c r="J172" s="136"/>
      <c r="K172" s="132"/>
      <c r="L172" s="133"/>
      <c r="M172" s="134"/>
      <c r="N172" s="134"/>
      <c r="O172" s="134"/>
      <c r="P172" s="134"/>
      <c r="Q172" s="135"/>
      <c r="R172" s="136"/>
      <c r="S172" s="137"/>
      <c r="T172" s="129"/>
      <c r="U172" s="130"/>
      <c r="V172" s="131"/>
      <c r="W172" s="130"/>
    </row>
    <row r="173" spans="1:24" ht="31.5" x14ac:dyDescent="0.35">
      <c r="A173" s="126" t="s">
        <v>336</v>
      </c>
      <c r="B173" s="127"/>
      <c r="C173" s="128">
        <v>19476884.357585356</v>
      </c>
      <c r="D173" s="128">
        <v>2213765.0348793752</v>
      </c>
      <c r="E173" s="128">
        <v>1827262.9665860841</v>
      </c>
      <c r="F173" s="128">
        <v>1589756.6200324562</v>
      </c>
      <c r="G173" s="123">
        <f>SUM(C173:F173)</f>
        <v>25107668.97908327</v>
      </c>
      <c r="H173" s="124">
        <v>2846</v>
      </c>
      <c r="I173" s="125" t="s">
        <v>222</v>
      </c>
      <c r="J173" s="129">
        <f>SUM(G173/H173)</f>
        <v>8822.0902948289768</v>
      </c>
      <c r="K173" s="126" t="s">
        <v>336</v>
      </c>
      <c r="L173" s="127"/>
      <c r="M173" s="128">
        <v>11969750.143085459</v>
      </c>
      <c r="N173" s="128">
        <v>7870029.6464801198</v>
      </c>
      <c r="O173" s="128">
        <v>936542.81263931561</v>
      </c>
      <c r="P173" s="128">
        <v>2068470.451262427</v>
      </c>
      <c r="Q173" s="123">
        <f>SUM(M173:P173)</f>
        <v>22844793.053467318</v>
      </c>
      <c r="R173" s="124">
        <v>49</v>
      </c>
      <c r="S173" s="125" t="s">
        <v>222</v>
      </c>
      <c r="T173" s="129">
        <f t="shared" si="2"/>
        <v>466220.2663972922</v>
      </c>
      <c r="U173" s="454">
        <f>SUM(Q173-G173)*100/G173</f>
        <v>-9.0126882248651246</v>
      </c>
      <c r="V173" s="454">
        <f>SUM(R173-H173)*100/H173</f>
        <v>-98.278285312719603</v>
      </c>
      <c r="W173" s="452">
        <f>SUM(T173-J173)*100/J173</f>
        <v>5184.6916186129365</v>
      </c>
      <c r="X173" s="519"/>
    </row>
    <row r="174" spans="1:24" ht="18" customHeight="1" x14ac:dyDescent="0.35">
      <c r="A174" s="126"/>
      <c r="B174" s="127"/>
      <c r="C174" s="128"/>
      <c r="D174" s="128"/>
      <c r="E174" s="128"/>
      <c r="F174" s="128"/>
      <c r="G174" s="123"/>
      <c r="H174" s="124"/>
      <c r="I174" s="125"/>
      <c r="J174" s="129"/>
      <c r="K174" s="126"/>
      <c r="L174" s="127"/>
      <c r="M174" s="128"/>
      <c r="N174" s="128"/>
      <c r="O174" s="128"/>
      <c r="P174" s="128"/>
      <c r="Q174" s="123"/>
      <c r="R174" s="124"/>
      <c r="S174" s="125"/>
      <c r="T174" s="129"/>
      <c r="U174" s="130"/>
      <c r="V174" s="138"/>
      <c r="W174" s="130"/>
    </row>
    <row r="175" spans="1:24" ht="31.5" x14ac:dyDescent="0.35">
      <c r="A175" s="126" t="s">
        <v>337</v>
      </c>
      <c r="B175" s="127"/>
      <c r="C175" s="128">
        <v>5274598.1144370306</v>
      </c>
      <c r="D175" s="128">
        <v>278458.55954392493</v>
      </c>
      <c r="E175" s="128">
        <v>238801.75489476859</v>
      </c>
      <c r="F175" s="128">
        <v>1047073.4758074811</v>
      </c>
      <c r="G175" s="123">
        <f>SUM(C175:F175)</f>
        <v>6838931.9046832062</v>
      </c>
      <c r="H175" s="124">
        <v>4</v>
      </c>
      <c r="I175" s="125" t="s">
        <v>229</v>
      </c>
      <c r="J175" s="129">
        <f>SUM(G175/H175)</f>
        <v>1709732.9761708016</v>
      </c>
      <c r="K175" s="126" t="s">
        <v>337</v>
      </c>
      <c r="L175" s="127"/>
      <c r="M175" s="128">
        <v>7187185.4501042366</v>
      </c>
      <c r="N175" s="128">
        <v>836632.6307331823</v>
      </c>
      <c r="O175" s="128">
        <v>2898849.375605077</v>
      </c>
      <c r="P175" s="128">
        <v>661763.75335807411</v>
      </c>
      <c r="Q175" s="123">
        <f>SUM(M175:P175)</f>
        <v>11584431.209800569</v>
      </c>
      <c r="R175" s="124">
        <v>1</v>
      </c>
      <c r="S175" s="125" t="s">
        <v>229</v>
      </c>
      <c r="T175" s="129">
        <f>SUM(Q175/R175)</f>
        <v>11584431.209800569</v>
      </c>
      <c r="U175" s="454">
        <f>SUM(Q175-G175)*100/G175</f>
        <v>69.389480276411447</v>
      </c>
      <c r="V175" s="454">
        <f>SUM(R175-H175)*100/H175</f>
        <v>-75</v>
      </c>
      <c r="W175" s="452">
        <f>SUM(T175-J175)*100/J175</f>
        <v>577.55792110564573</v>
      </c>
      <c r="X175" s="519"/>
    </row>
    <row r="176" spans="1:24" ht="18" customHeight="1" x14ac:dyDescent="0.35">
      <c r="A176" s="126"/>
      <c r="B176" s="127"/>
      <c r="C176" s="128"/>
      <c r="D176" s="128"/>
      <c r="E176" s="128"/>
      <c r="F176" s="128"/>
      <c r="G176" s="123"/>
      <c r="H176" s="124"/>
      <c r="I176" s="125"/>
      <c r="J176" s="129"/>
      <c r="K176" s="126"/>
      <c r="L176" s="127"/>
      <c r="M176" s="128"/>
      <c r="N176" s="128"/>
      <c r="O176" s="128"/>
      <c r="P176" s="128"/>
      <c r="Q176" s="123"/>
      <c r="R176" s="124"/>
      <c r="S176" s="125"/>
      <c r="T176" s="129"/>
      <c r="U176" s="130"/>
      <c r="V176" s="138"/>
      <c r="W176" s="130"/>
    </row>
    <row r="177" spans="1:24" ht="20.25" customHeight="1" x14ac:dyDescent="0.35">
      <c r="A177" s="136"/>
      <c r="B177" s="136"/>
      <c r="C177" s="138"/>
      <c r="D177" s="138"/>
      <c r="E177" s="138"/>
      <c r="F177" s="138"/>
      <c r="G177" s="138"/>
      <c r="H177" s="136"/>
      <c r="I177" s="136"/>
      <c r="J177" s="136"/>
      <c r="K177" s="136" t="s">
        <v>476</v>
      </c>
      <c r="L177" s="136"/>
      <c r="M177" s="130">
        <v>65260</v>
      </c>
      <c r="N177" s="130">
        <v>0</v>
      </c>
      <c r="O177" s="130">
        <v>0</v>
      </c>
      <c r="P177" s="130">
        <v>0</v>
      </c>
      <c r="Q177" s="453">
        <f>SUM(M177:P177)</f>
        <v>65260</v>
      </c>
      <c r="R177" s="136">
        <v>76</v>
      </c>
      <c r="S177" s="125" t="s">
        <v>222</v>
      </c>
      <c r="T177" s="129">
        <f>SUM(Q177/R177)</f>
        <v>858.68421052631584</v>
      </c>
      <c r="U177" s="130"/>
      <c r="V177" s="138"/>
      <c r="W177" s="138"/>
      <c r="X177" s="519"/>
    </row>
    <row r="178" spans="1:24" ht="18" customHeight="1" x14ac:dyDescent="0.35">
      <c r="A178" s="136"/>
      <c r="B178" s="136"/>
      <c r="C178" s="138"/>
      <c r="D178" s="138"/>
      <c r="E178" s="138"/>
      <c r="F178" s="138"/>
      <c r="G178" s="138"/>
      <c r="H178" s="136"/>
      <c r="I178" s="136"/>
      <c r="J178" s="136"/>
      <c r="K178" s="136"/>
      <c r="L178" s="136"/>
      <c r="M178" s="138"/>
      <c r="N178" s="138"/>
      <c r="O178" s="138"/>
      <c r="P178" s="138"/>
      <c r="Q178" s="138"/>
      <c r="R178" s="136"/>
      <c r="S178" s="136"/>
      <c r="T178" s="129"/>
      <c r="U178" s="130"/>
      <c r="V178" s="138"/>
      <c r="W178" s="138"/>
    </row>
    <row r="179" spans="1:24" ht="21.95" customHeight="1" x14ac:dyDescent="0.35">
      <c r="A179" s="126" t="s">
        <v>211</v>
      </c>
      <c r="B179" s="127"/>
      <c r="C179" s="128">
        <v>41539318.207306534</v>
      </c>
      <c r="D179" s="128">
        <v>2388009.9831795078</v>
      </c>
      <c r="E179" s="128">
        <v>3660074.7196523733</v>
      </c>
      <c r="F179" s="128">
        <v>822071.87429531699</v>
      </c>
      <c r="G179" s="123">
        <f>SUM(C179:F179)</f>
        <v>48409474.78443373</v>
      </c>
      <c r="H179" s="124">
        <v>10251</v>
      </c>
      <c r="I179" s="125" t="s">
        <v>224</v>
      </c>
      <c r="J179" s="129">
        <f>SUM(G179/H179)</f>
        <v>4722.4148653237471</v>
      </c>
      <c r="K179" s="126" t="s">
        <v>211</v>
      </c>
      <c r="L179" s="127"/>
      <c r="M179" s="128">
        <v>34732614.985338904</v>
      </c>
      <c r="N179" s="128">
        <v>12025548.289481759</v>
      </c>
      <c r="O179" s="128">
        <v>1584849.4488625892</v>
      </c>
      <c r="P179" s="128">
        <v>2375265.7390464144</v>
      </c>
      <c r="Q179" s="123">
        <f>SUM(M179:P179)</f>
        <v>50718278.46272967</v>
      </c>
      <c r="R179" s="124">
        <v>47594</v>
      </c>
      <c r="S179" s="125" t="s">
        <v>224</v>
      </c>
      <c r="T179" s="129">
        <f>SUM(Q179/R179)</f>
        <v>1065.6443766594459</v>
      </c>
      <c r="U179" s="454">
        <f>SUM(Q179-G179)*100/G179</f>
        <v>4.7693218911731421</v>
      </c>
      <c r="V179" s="454">
        <f>SUM(R179-H179)*100/H179</f>
        <v>364.2864110818457</v>
      </c>
      <c r="W179" s="452">
        <f>SUM(T179-J179)*100/J179</f>
        <v>-77.434333766726567</v>
      </c>
      <c r="X179" s="519"/>
    </row>
    <row r="180" spans="1:24" ht="18" customHeight="1" x14ac:dyDescent="0.35">
      <c r="A180" s="132"/>
      <c r="B180" s="133"/>
      <c r="C180" s="134"/>
      <c r="D180" s="134"/>
      <c r="E180" s="134"/>
      <c r="F180" s="134"/>
      <c r="G180" s="135"/>
      <c r="H180" s="136"/>
      <c r="I180" s="137"/>
      <c r="J180" s="136"/>
      <c r="K180" s="132"/>
      <c r="L180" s="133"/>
      <c r="M180" s="134"/>
      <c r="N180" s="134"/>
      <c r="O180" s="134"/>
      <c r="P180" s="134"/>
      <c r="Q180" s="135"/>
      <c r="R180" s="136"/>
      <c r="S180" s="137"/>
      <c r="T180" s="129"/>
      <c r="U180" s="130"/>
      <c r="V180" s="138"/>
      <c r="W180" s="138"/>
    </row>
    <row r="181" spans="1:24" ht="31.5" x14ac:dyDescent="0.35">
      <c r="A181" s="126" t="s">
        <v>323</v>
      </c>
      <c r="B181" s="127"/>
      <c r="C181" s="128">
        <v>177293808.95124424</v>
      </c>
      <c r="D181" s="128">
        <v>1928326.6016725237</v>
      </c>
      <c r="E181" s="128">
        <v>1413769.0616083187</v>
      </c>
      <c r="F181" s="128">
        <v>542006.73442567117</v>
      </c>
      <c r="G181" s="123">
        <f>SUM(C181:F181)</f>
        <v>181177911.34895074</v>
      </c>
      <c r="H181" s="124">
        <v>14693</v>
      </c>
      <c r="I181" s="125" t="s">
        <v>227</v>
      </c>
      <c r="J181" s="129">
        <f>SUM(G181/H181)</f>
        <v>12330.89983998848</v>
      </c>
      <c r="K181" s="126" t="s">
        <v>437</v>
      </c>
      <c r="L181" s="127"/>
      <c r="M181" s="128">
        <v>2403421.2564781681</v>
      </c>
      <c r="N181" s="128">
        <v>4082.8857172240373</v>
      </c>
      <c r="O181" s="128">
        <v>308645.33719398407</v>
      </c>
      <c r="P181" s="128">
        <v>1281.3925747595533</v>
      </c>
      <c r="Q181" s="123">
        <f>SUM(M181:P181)</f>
        <v>2717430.8719641357</v>
      </c>
      <c r="R181" s="124">
        <v>33</v>
      </c>
      <c r="S181" s="125" t="s">
        <v>222</v>
      </c>
      <c r="T181" s="129">
        <f>SUM(Q181/R181)</f>
        <v>82346.390059519268</v>
      </c>
      <c r="U181" s="454"/>
      <c r="V181" s="454"/>
      <c r="W181" s="454"/>
      <c r="X181" s="519"/>
    </row>
    <row r="182" spans="1:24" ht="18" customHeight="1" x14ac:dyDescent="0.35">
      <c r="A182" s="126"/>
      <c r="B182" s="127"/>
      <c r="C182" s="128"/>
      <c r="D182" s="128"/>
      <c r="E182" s="128"/>
      <c r="F182" s="128"/>
      <c r="G182" s="123"/>
      <c r="H182" s="124"/>
      <c r="I182" s="125"/>
      <c r="J182" s="129"/>
      <c r="K182" s="126"/>
      <c r="L182" s="127"/>
      <c r="M182" s="128"/>
      <c r="N182" s="128"/>
      <c r="O182" s="128"/>
      <c r="P182" s="128"/>
      <c r="Q182" s="123"/>
      <c r="R182" s="124"/>
      <c r="S182" s="125"/>
      <c r="T182" s="129"/>
      <c r="U182" s="130"/>
      <c r="V182" s="138"/>
      <c r="W182" s="138"/>
    </row>
    <row r="183" spans="1:24" ht="21.95" customHeight="1" x14ac:dyDescent="0.35">
      <c r="A183" s="126" t="s">
        <v>322</v>
      </c>
      <c r="B183" s="127">
        <f>4465410.44</f>
        <v>4465410.4400000004</v>
      </c>
      <c r="C183" s="128">
        <f>50863239.6544551+4465410.44</f>
        <v>55328650.094455101</v>
      </c>
      <c r="D183" s="128">
        <v>8662487.5216952302</v>
      </c>
      <c r="E183" s="128">
        <v>381145.72541930707</v>
      </c>
      <c r="F183" s="128">
        <v>5611377.2194719762</v>
      </c>
      <c r="G183" s="123">
        <f>SUM(C183:F183)</f>
        <v>69983660.561041623</v>
      </c>
      <c r="H183" s="124">
        <v>91</v>
      </c>
      <c r="I183" s="125" t="s">
        <v>223</v>
      </c>
      <c r="J183" s="129">
        <f>SUM(G183/H183)</f>
        <v>769051.21495650138</v>
      </c>
      <c r="K183" s="126"/>
      <c r="L183" s="127">
        <f>4465410.44</f>
        <v>4465410.4400000004</v>
      </c>
      <c r="M183" s="128"/>
      <c r="N183" s="128"/>
      <c r="O183" s="128"/>
      <c r="P183" s="128"/>
      <c r="Q183" s="123"/>
      <c r="R183" s="124"/>
      <c r="S183" s="125"/>
      <c r="T183" s="129"/>
      <c r="U183" s="130"/>
      <c r="V183" s="130"/>
      <c r="W183" s="130"/>
    </row>
    <row r="184" spans="1:24" ht="18" customHeight="1" x14ac:dyDescent="0.35">
      <c r="A184" s="136"/>
      <c r="B184" s="136"/>
      <c r="C184" s="138"/>
      <c r="D184" s="138"/>
      <c r="E184" s="138"/>
      <c r="F184" s="138"/>
      <c r="G184" s="138"/>
      <c r="H184" s="136"/>
      <c r="I184" s="136"/>
      <c r="J184" s="136"/>
      <c r="K184" s="136"/>
      <c r="L184" s="136"/>
      <c r="M184" s="138"/>
      <c r="N184" s="138"/>
      <c r="O184" s="138"/>
      <c r="P184" s="138"/>
      <c r="Q184" s="138"/>
      <c r="R184" s="136"/>
      <c r="S184" s="136"/>
      <c r="T184" s="129"/>
      <c r="U184" s="130"/>
      <c r="V184" s="138"/>
      <c r="W184" s="138"/>
    </row>
    <row r="185" spans="1:24" ht="47.25" x14ac:dyDescent="0.35">
      <c r="A185" s="126" t="s">
        <v>324</v>
      </c>
      <c r="B185" s="127"/>
      <c r="C185" s="128">
        <v>621370</v>
      </c>
      <c r="D185" s="134">
        <v>0</v>
      </c>
      <c r="E185" s="134">
        <v>0</v>
      </c>
      <c r="F185" s="134">
        <v>0</v>
      </c>
      <c r="G185" s="123">
        <f>SUM(C185:F185)</f>
        <v>621370</v>
      </c>
      <c r="H185" s="124">
        <v>33</v>
      </c>
      <c r="I185" s="125" t="s">
        <v>222</v>
      </c>
      <c r="J185" s="129">
        <f>SUM(G185/H185)</f>
        <v>18829.39393939394</v>
      </c>
      <c r="K185" s="126"/>
      <c r="L185" s="127"/>
      <c r="M185" s="128"/>
      <c r="N185" s="134"/>
      <c r="O185" s="134"/>
      <c r="P185" s="134"/>
      <c r="Q185" s="123"/>
      <c r="R185" s="124"/>
      <c r="S185" s="125"/>
      <c r="T185" s="129"/>
      <c r="U185" s="130"/>
      <c r="V185" s="138"/>
      <c r="W185" s="138"/>
    </row>
    <row r="186" spans="1:24" ht="18" customHeight="1" x14ac:dyDescent="0.35">
      <c r="A186" s="136"/>
      <c r="B186" s="141"/>
      <c r="C186" s="130"/>
      <c r="D186" s="130"/>
      <c r="E186" s="130"/>
      <c r="F186" s="130"/>
      <c r="G186" s="135"/>
      <c r="H186" s="136"/>
      <c r="I186" s="137"/>
      <c r="J186" s="136"/>
      <c r="K186" s="136"/>
      <c r="L186" s="141"/>
      <c r="M186" s="130"/>
      <c r="N186" s="130"/>
      <c r="O186" s="130"/>
      <c r="P186" s="130"/>
      <c r="Q186" s="135"/>
      <c r="R186" s="136"/>
      <c r="S186" s="137"/>
      <c r="T186" s="129"/>
      <c r="U186" s="130"/>
      <c r="V186" s="138"/>
      <c r="W186" s="138"/>
    </row>
    <row r="187" spans="1:24" ht="31.5" x14ac:dyDescent="0.35">
      <c r="A187" s="126" t="s">
        <v>321</v>
      </c>
      <c r="B187" s="127"/>
      <c r="C187" s="128">
        <v>8608580.6118664742</v>
      </c>
      <c r="D187" s="128">
        <v>1574703.6221100686</v>
      </c>
      <c r="E187" s="128">
        <v>1450467.9943634223</v>
      </c>
      <c r="F187" s="128">
        <v>846062.36750914238</v>
      </c>
      <c r="G187" s="123">
        <f>SUM(C187:F187)</f>
        <v>12479814.595849106</v>
      </c>
      <c r="H187" s="124">
        <v>6</v>
      </c>
      <c r="I187" s="125" t="s">
        <v>222</v>
      </c>
      <c r="J187" s="129">
        <f>SUM(G187/H187)</f>
        <v>2079969.0993081843</v>
      </c>
      <c r="K187" s="126" t="s">
        <v>212</v>
      </c>
      <c r="L187" s="127"/>
      <c r="M187" s="128">
        <v>4859941.2191176722</v>
      </c>
      <c r="N187" s="128">
        <v>4066137.0011160392</v>
      </c>
      <c r="O187" s="128">
        <v>1179074.0294692884</v>
      </c>
      <c r="P187" s="128">
        <v>762770.23666748707</v>
      </c>
      <c r="Q187" s="123">
        <f>SUM(M187:P187)</f>
        <v>10867922.486370489</v>
      </c>
      <c r="R187" s="124">
        <v>5</v>
      </c>
      <c r="S187" s="125" t="s">
        <v>223</v>
      </c>
      <c r="T187" s="129">
        <f>SUM(Q187/R187)</f>
        <v>2173584.497274098</v>
      </c>
      <c r="U187" s="454"/>
      <c r="V187" s="454"/>
      <c r="W187" s="454"/>
      <c r="X187" s="519"/>
    </row>
    <row r="188" spans="1:24" ht="18" customHeight="1" x14ac:dyDescent="0.35">
      <c r="A188" s="132"/>
      <c r="B188" s="133"/>
      <c r="C188" s="134"/>
      <c r="D188" s="134"/>
      <c r="E188" s="134"/>
      <c r="F188" s="134"/>
      <c r="G188" s="135"/>
      <c r="H188" s="136"/>
      <c r="I188" s="137"/>
      <c r="J188" s="136"/>
      <c r="K188" s="132"/>
      <c r="L188" s="133"/>
      <c r="M188" s="134"/>
      <c r="N188" s="134"/>
      <c r="O188" s="134"/>
      <c r="P188" s="134"/>
      <c r="Q188" s="135"/>
      <c r="R188" s="136"/>
      <c r="S188" s="137"/>
      <c r="T188" s="129"/>
      <c r="U188" s="130"/>
      <c r="V188" s="130"/>
      <c r="W188" s="130"/>
    </row>
    <row r="189" spans="1:24" ht="31.5" x14ac:dyDescent="0.35">
      <c r="A189" s="136"/>
      <c r="B189" s="136"/>
      <c r="C189" s="138"/>
      <c r="D189" s="138"/>
      <c r="E189" s="138"/>
      <c r="F189" s="138"/>
      <c r="G189" s="138"/>
      <c r="H189" s="136"/>
      <c r="I189" s="136"/>
      <c r="J189" s="136"/>
      <c r="K189" s="136" t="s">
        <v>467</v>
      </c>
      <c r="L189" s="136"/>
      <c r="M189" s="130">
        <v>59210520.922939286</v>
      </c>
      <c r="N189" s="130">
        <v>1647320.9694061691</v>
      </c>
      <c r="O189" s="130">
        <v>862253.55650529149</v>
      </c>
      <c r="P189" s="130">
        <v>3240013.5868214923</v>
      </c>
      <c r="Q189" s="453">
        <f>SUM(M189:P189)</f>
        <v>64960109.03567224</v>
      </c>
      <c r="R189" s="136">
        <v>117</v>
      </c>
      <c r="S189" s="125" t="s">
        <v>222</v>
      </c>
      <c r="T189" s="129">
        <f>SUM(Q189/R189)</f>
        <v>555214.60714249779</v>
      </c>
      <c r="U189" s="130"/>
      <c r="V189" s="138"/>
      <c r="W189" s="138"/>
      <c r="X189" s="519"/>
    </row>
    <row r="190" spans="1:24" ht="18" customHeight="1" x14ac:dyDescent="0.35">
      <c r="A190" s="136"/>
      <c r="B190" s="136"/>
      <c r="C190" s="138"/>
      <c r="D190" s="138"/>
      <c r="E190" s="138"/>
      <c r="F190" s="138"/>
      <c r="G190" s="138"/>
      <c r="H190" s="136"/>
      <c r="I190" s="136"/>
      <c r="J190" s="136"/>
      <c r="K190" s="136"/>
      <c r="L190" s="136"/>
      <c r="M190" s="138"/>
      <c r="N190" s="138"/>
      <c r="O190" s="138"/>
      <c r="P190" s="138"/>
      <c r="Q190" s="138"/>
      <c r="R190" s="136"/>
      <c r="S190" s="136"/>
      <c r="T190" s="129"/>
      <c r="U190" s="130"/>
      <c r="V190" s="138"/>
      <c r="W190" s="138"/>
    </row>
    <row r="191" spans="1:24" ht="21.95" customHeight="1" x14ac:dyDescent="0.35">
      <c r="A191" s="126" t="s">
        <v>213</v>
      </c>
      <c r="B191" s="127"/>
      <c r="C191" s="128">
        <v>501442608.11560148</v>
      </c>
      <c r="D191" s="128">
        <v>89597276.118716717</v>
      </c>
      <c r="E191" s="128">
        <v>5689112.5346206129</v>
      </c>
      <c r="F191" s="128">
        <v>56974757.275781922</v>
      </c>
      <c r="G191" s="123">
        <f>SUM(C191:F191)</f>
        <v>653703754.04472077</v>
      </c>
      <c r="H191" s="124">
        <v>86116</v>
      </c>
      <c r="I191" s="125" t="s">
        <v>228</v>
      </c>
      <c r="J191" s="129">
        <f>SUM(G191/H191)</f>
        <v>7590.9674630117606</v>
      </c>
      <c r="K191" s="126" t="s">
        <v>213</v>
      </c>
      <c r="L191" s="127"/>
      <c r="M191" s="128">
        <v>499206991.80389786</v>
      </c>
      <c r="N191" s="128">
        <v>7091870.3405032521</v>
      </c>
      <c r="O191" s="128">
        <v>3200841.0961581818</v>
      </c>
      <c r="P191" s="128">
        <v>24760866.817787629</v>
      </c>
      <c r="Q191" s="123">
        <f>SUM(M191:P191)</f>
        <v>534260570.05834699</v>
      </c>
      <c r="R191" s="124">
        <v>12</v>
      </c>
      <c r="S191" s="125" t="s">
        <v>331</v>
      </c>
      <c r="T191" s="129">
        <f>SUM(Q191/R191)</f>
        <v>44521714.171528913</v>
      </c>
      <c r="U191" s="130"/>
      <c r="V191" s="131"/>
      <c r="W191" s="131"/>
      <c r="X191" s="519"/>
    </row>
    <row r="192" spans="1:24" ht="21.95" customHeight="1" x14ac:dyDescent="0.35">
      <c r="A192" s="126"/>
      <c r="B192" s="127"/>
      <c r="C192" s="128"/>
      <c r="D192" s="128"/>
      <c r="E192" s="128"/>
      <c r="F192" s="128"/>
      <c r="G192" s="123"/>
      <c r="H192" s="124"/>
      <c r="I192" s="125"/>
      <c r="J192" s="129"/>
      <c r="K192" s="126" t="s">
        <v>435</v>
      </c>
      <c r="L192" s="127"/>
      <c r="M192" s="128">
        <v>1719964.8188423296</v>
      </c>
      <c r="N192" s="128">
        <v>431472.92548258137</v>
      </c>
      <c r="O192" s="128">
        <v>331890.27128156554</v>
      </c>
      <c r="P192" s="128">
        <v>304820.34270494245</v>
      </c>
      <c r="Q192" s="123">
        <f t="shared" ref="Q192:Q193" si="3">SUM(M192:P192)</f>
        <v>2788148.3583114189</v>
      </c>
      <c r="R192" s="124">
        <v>5</v>
      </c>
      <c r="S192" s="125" t="s">
        <v>224</v>
      </c>
      <c r="T192" s="129">
        <f t="shared" si="2"/>
        <v>557629.67166228383</v>
      </c>
      <c r="U192" s="130"/>
      <c r="V192" s="131"/>
      <c r="W192" s="131"/>
      <c r="X192" s="519"/>
    </row>
    <row r="193" spans="1:24" ht="21.95" customHeight="1" x14ac:dyDescent="0.35">
      <c r="A193" s="126"/>
      <c r="B193" s="127"/>
      <c r="C193" s="128"/>
      <c r="D193" s="128"/>
      <c r="E193" s="128"/>
      <c r="F193" s="128"/>
      <c r="G193" s="123"/>
      <c r="H193" s="124"/>
      <c r="I193" s="125"/>
      <c r="J193" s="129"/>
      <c r="K193" s="126" t="s">
        <v>436</v>
      </c>
      <c r="L193" s="127"/>
      <c r="M193" s="128">
        <v>13629941.724401109</v>
      </c>
      <c r="N193" s="128">
        <v>3591829.7638037018</v>
      </c>
      <c r="O193" s="128">
        <v>591074.03761214565</v>
      </c>
      <c r="P193" s="128">
        <v>1060907.8983637465</v>
      </c>
      <c r="Q193" s="123">
        <f t="shared" si="3"/>
        <v>18873753.424180701</v>
      </c>
      <c r="R193" s="124">
        <v>139</v>
      </c>
      <c r="S193" s="125" t="s">
        <v>224</v>
      </c>
      <c r="T193" s="129">
        <f t="shared" si="2"/>
        <v>135782.39873511295</v>
      </c>
      <c r="U193" s="130"/>
      <c r="V193" s="131"/>
      <c r="W193" s="131"/>
      <c r="X193" s="519"/>
    </row>
    <row r="194" spans="1:24" ht="21.95" customHeight="1" x14ac:dyDescent="0.35">
      <c r="A194" s="126"/>
      <c r="B194" s="127"/>
      <c r="C194" s="128"/>
      <c r="D194" s="128"/>
      <c r="E194" s="128"/>
      <c r="F194" s="128"/>
      <c r="G194" s="123"/>
      <c r="H194" s="124"/>
      <c r="I194" s="125"/>
      <c r="J194" s="129"/>
      <c r="K194" s="126" t="s">
        <v>477</v>
      </c>
      <c r="L194" s="127"/>
      <c r="M194" s="128">
        <v>12407809.447623644</v>
      </c>
      <c r="N194" s="128">
        <v>3362143.3272372796</v>
      </c>
      <c r="O194" s="128">
        <v>1526592.9888172122</v>
      </c>
      <c r="P194" s="128">
        <v>1844236.6221452174</v>
      </c>
      <c r="Q194" s="123">
        <f>SUM(M194:P194)</f>
        <v>19140782.385823354</v>
      </c>
      <c r="R194" s="124">
        <v>12</v>
      </c>
      <c r="S194" s="125" t="s">
        <v>331</v>
      </c>
      <c r="T194" s="129">
        <f t="shared" si="2"/>
        <v>1595065.1988186128</v>
      </c>
      <c r="U194" s="130"/>
      <c r="V194" s="131"/>
      <c r="W194" s="131"/>
      <c r="X194" s="519"/>
    </row>
    <row r="195" spans="1:24" ht="21.95" customHeight="1" x14ac:dyDescent="0.35">
      <c r="A195" s="126"/>
      <c r="B195" s="127"/>
      <c r="C195" s="128"/>
      <c r="D195" s="128"/>
      <c r="E195" s="128"/>
      <c r="F195" s="128"/>
      <c r="G195" s="123"/>
      <c r="H195" s="124"/>
      <c r="I195" s="125"/>
      <c r="J195" s="129"/>
      <c r="K195" s="126" t="s">
        <v>478</v>
      </c>
      <c r="L195" s="127"/>
      <c r="M195" s="128">
        <v>48573014.551600248</v>
      </c>
      <c r="N195" s="128">
        <v>26998064.170063518</v>
      </c>
      <c r="O195" s="128">
        <v>3534067.8241870077</v>
      </c>
      <c r="P195" s="128">
        <v>8595079.143595295</v>
      </c>
      <c r="Q195" s="123">
        <f>SUM(M195:P195)</f>
        <v>87700225.689446077</v>
      </c>
      <c r="R195" s="124">
        <v>12</v>
      </c>
      <c r="S195" s="125" t="s">
        <v>331</v>
      </c>
      <c r="T195" s="129">
        <f t="shared" si="2"/>
        <v>7308352.1407871731</v>
      </c>
      <c r="U195" s="130"/>
      <c r="V195" s="131"/>
      <c r="W195" s="131"/>
      <c r="X195" s="519"/>
    </row>
    <row r="196" spans="1:24" ht="18" customHeight="1" x14ac:dyDescent="0.35">
      <c r="A196" s="136"/>
      <c r="B196" s="136"/>
      <c r="C196" s="138"/>
      <c r="D196" s="138"/>
      <c r="E196" s="138"/>
      <c r="F196" s="138"/>
      <c r="G196" s="138"/>
      <c r="H196" s="136"/>
      <c r="I196" s="136"/>
      <c r="J196" s="136"/>
      <c r="K196" s="136"/>
      <c r="L196" s="136"/>
      <c r="M196" s="138"/>
      <c r="N196" s="138"/>
      <c r="O196" s="138"/>
      <c r="P196" s="138"/>
      <c r="Q196" s="138"/>
      <c r="R196" s="136"/>
      <c r="S196" s="136"/>
      <c r="T196" s="129"/>
      <c r="U196" s="130"/>
      <c r="V196" s="131"/>
      <c r="W196" s="131"/>
    </row>
    <row r="197" spans="1:24" ht="21.95" customHeight="1" x14ac:dyDescent="0.35">
      <c r="A197" s="126" t="s">
        <v>330</v>
      </c>
      <c r="B197" s="127"/>
      <c r="C197" s="128">
        <v>42666683.59534125</v>
      </c>
      <c r="D197" s="128">
        <v>33835262.216693401</v>
      </c>
      <c r="E197" s="128">
        <v>1516563.2630162605</v>
      </c>
      <c r="F197" s="128">
        <v>21686819.994948603</v>
      </c>
      <c r="G197" s="123">
        <f>SUM(C197:F197)</f>
        <v>99705329.069999516</v>
      </c>
      <c r="H197" s="124">
        <v>12</v>
      </c>
      <c r="I197" s="125" t="s">
        <v>331</v>
      </c>
      <c r="J197" s="129">
        <f>SUM(G197/H197)</f>
        <v>8308777.4224999594</v>
      </c>
      <c r="K197" s="126" t="s">
        <v>480</v>
      </c>
      <c r="L197" s="127"/>
      <c r="M197" s="128">
        <v>31052227.775084484</v>
      </c>
      <c r="N197" s="128">
        <v>4476960.0310554374</v>
      </c>
      <c r="O197" s="128">
        <v>2486399.9292566027</v>
      </c>
      <c r="P197" s="128">
        <v>11176566.71872961</v>
      </c>
      <c r="Q197" s="123">
        <f>SUM(M197:P197)</f>
        <v>49192154.454126135</v>
      </c>
      <c r="R197" s="124">
        <v>88</v>
      </c>
      <c r="S197" s="125" t="s">
        <v>222</v>
      </c>
      <c r="T197" s="129">
        <f t="shared" si="2"/>
        <v>559001.75516052428</v>
      </c>
      <c r="U197" s="130"/>
      <c r="V197" s="130"/>
      <c r="W197" s="130"/>
    </row>
    <row r="198" spans="1:24" ht="21.95" customHeight="1" x14ac:dyDescent="0.35">
      <c r="A198" s="126"/>
      <c r="B198" s="127"/>
      <c r="C198" s="128"/>
      <c r="D198" s="128"/>
      <c r="E198" s="128"/>
      <c r="F198" s="128"/>
      <c r="G198" s="123"/>
      <c r="H198" s="124"/>
      <c r="I198" s="125"/>
      <c r="J198" s="129"/>
      <c r="K198" s="126" t="s">
        <v>479</v>
      </c>
      <c r="L198" s="127"/>
      <c r="M198" s="128">
        <v>212844397.70157468</v>
      </c>
      <c r="N198" s="128">
        <v>21136083.223585054</v>
      </c>
      <c r="O198" s="128">
        <v>3748978.6648544837</v>
      </c>
      <c r="P198" s="128">
        <v>12249428.600005513</v>
      </c>
      <c r="Q198" s="123">
        <f>SUM(M198:P198)</f>
        <v>249978888.19001976</v>
      </c>
      <c r="R198" s="124">
        <v>12</v>
      </c>
      <c r="S198" s="125" t="s">
        <v>331</v>
      </c>
      <c r="T198" s="129">
        <f>SUM(Q198/R198)</f>
        <v>20831574.01583498</v>
      </c>
      <c r="U198" s="130"/>
      <c r="V198" s="131"/>
      <c r="W198" s="131"/>
      <c r="X198" s="519"/>
    </row>
    <row r="199" spans="1:24" ht="21.95" customHeight="1" x14ac:dyDescent="0.35">
      <c r="A199" s="126"/>
      <c r="B199" s="127"/>
      <c r="C199" s="128"/>
      <c r="D199" s="128"/>
      <c r="E199" s="128"/>
      <c r="F199" s="128"/>
      <c r="G199" s="123"/>
      <c r="H199" s="124"/>
      <c r="I199" s="125"/>
      <c r="J199" s="129"/>
      <c r="K199" s="126" t="s">
        <v>481</v>
      </c>
      <c r="L199" s="127"/>
      <c r="M199" s="128">
        <v>27377177.634126458</v>
      </c>
      <c r="N199" s="128">
        <v>8663515.002991192</v>
      </c>
      <c r="O199" s="128">
        <v>1882091.7622250342</v>
      </c>
      <c r="P199" s="128">
        <v>3974163.7665951294</v>
      </c>
      <c r="Q199" s="123">
        <f>SUM(M199:P199)</f>
        <v>41896948.165937819</v>
      </c>
      <c r="R199" s="124">
        <v>12</v>
      </c>
      <c r="S199" s="125" t="s">
        <v>331</v>
      </c>
      <c r="T199" s="129">
        <f>SUM(Q199/R199)</f>
        <v>3491412.3471614849</v>
      </c>
      <c r="U199" s="130"/>
      <c r="V199" s="131"/>
      <c r="W199" s="131"/>
      <c r="X199" s="519"/>
    </row>
    <row r="200" spans="1:24" ht="18" customHeight="1" x14ac:dyDescent="0.35">
      <c r="A200" s="136"/>
      <c r="B200" s="136"/>
      <c r="C200" s="138"/>
      <c r="D200" s="138"/>
      <c r="E200" s="138"/>
      <c r="F200" s="138"/>
      <c r="G200" s="138"/>
      <c r="H200" s="136"/>
      <c r="I200" s="136"/>
      <c r="J200" s="136"/>
      <c r="K200" s="136"/>
      <c r="L200" s="136"/>
      <c r="M200" s="138"/>
      <c r="N200" s="138"/>
      <c r="O200" s="138"/>
      <c r="P200" s="138"/>
      <c r="Q200" s="138"/>
      <c r="R200" s="136"/>
      <c r="S200" s="136"/>
      <c r="T200" s="129"/>
      <c r="U200" s="130"/>
      <c r="V200" s="131"/>
      <c r="W200" s="131"/>
    </row>
    <row r="201" spans="1:24" ht="21.95" customHeight="1" x14ac:dyDescent="0.35">
      <c r="A201" s="126" t="s">
        <v>214</v>
      </c>
      <c r="B201" s="127"/>
      <c r="C201" s="128">
        <v>9007946.7539528683</v>
      </c>
      <c r="D201" s="128">
        <v>1442206.7672528338</v>
      </c>
      <c r="E201" s="128">
        <v>638933.42832830804</v>
      </c>
      <c r="F201" s="128">
        <v>1909796.5468193362</v>
      </c>
      <c r="G201" s="123">
        <f>SUM(C201:F201)</f>
        <v>12998883.496353347</v>
      </c>
      <c r="H201" s="124">
        <v>1308</v>
      </c>
      <c r="I201" s="125" t="s">
        <v>224</v>
      </c>
      <c r="J201" s="129">
        <f>SUM(G201/H201)</f>
        <v>9937.9843244291642</v>
      </c>
      <c r="K201" s="126" t="s">
        <v>214</v>
      </c>
      <c r="L201" s="127"/>
      <c r="M201" s="128">
        <v>5538799.8148258766</v>
      </c>
      <c r="N201" s="128">
        <v>39648.038246580996</v>
      </c>
      <c r="O201" s="128">
        <v>17876.813115542871</v>
      </c>
      <c r="P201" s="128">
        <v>138581.59212881932</v>
      </c>
      <c r="Q201" s="123">
        <f>SUM(M201:P201)</f>
        <v>5734906.2583168205</v>
      </c>
      <c r="R201" s="124">
        <v>1309</v>
      </c>
      <c r="S201" s="125" t="s">
        <v>224</v>
      </c>
      <c r="T201" s="129">
        <f>SUM(Q201/R201)</f>
        <v>4381.1354150625057</v>
      </c>
      <c r="U201" s="454">
        <f>SUM(Q201-G201)*100/G201</f>
        <v>-55.881547365774395</v>
      </c>
      <c r="V201" s="454">
        <f>SUM(R201-H201)*100/H201</f>
        <v>7.64525993883792E-2</v>
      </c>
      <c r="W201" s="452">
        <f>SUM(T201-J201)*100/J201</f>
        <v>-55.915251302087782</v>
      </c>
    </row>
    <row r="202" spans="1:24" ht="18" customHeight="1" x14ac:dyDescent="0.35">
      <c r="A202" s="136"/>
      <c r="B202" s="136"/>
      <c r="C202" s="138"/>
      <c r="D202" s="138"/>
      <c r="E202" s="138"/>
      <c r="F202" s="138"/>
      <c r="G202" s="138"/>
      <c r="H202" s="136"/>
      <c r="I202" s="136"/>
      <c r="J202" s="136"/>
      <c r="K202" s="136"/>
      <c r="L202" s="136"/>
      <c r="M202" s="138"/>
      <c r="N202" s="138"/>
      <c r="O202" s="138"/>
      <c r="P202" s="138"/>
      <c r="Q202" s="138"/>
      <c r="R202" s="136"/>
      <c r="S202" s="136"/>
      <c r="T202" s="129"/>
      <c r="U202" s="130"/>
      <c r="V202" s="131"/>
      <c r="W202" s="130"/>
    </row>
    <row r="203" spans="1:24" ht="21.95" customHeight="1" x14ac:dyDescent="0.35">
      <c r="A203" s="126" t="s">
        <v>215</v>
      </c>
      <c r="B203" s="127"/>
      <c r="C203" s="128">
        <v>709401.71738766111</v>
      </c>
      <c r="D203" s="128">
        <v>267017.49038288137</v>
      </c>
      <c r="E203" s="128">
        <v>238766.60189008046</v>
      </c>
      <c r="F203" s="128">
        <v>58818.840898123315</v>
      </c>
      <c r="G203" s="123">
        <f>SUM(C203:F203)</f>
        <v>1274004.6505587462</v>
      </c>
      <c r="H203" s="124">
        <v>32</v>
      </c>
      <c r="I203" s="466" t="s">
        <v>222</v>
      </c>
      <c r="J203" s="129">
        <f>SUM(G203/H203)</f>
        <v>39812.645329960818</v>
      </c>
      <c r="K203" s="126" t="s">
        <v>215</v>
      </c>
      <c r="L203" s="127"/>
      <c r="M203" s="128">
        <v>612068.03093142749</v>
      </c>
      <c r="N203" s="128">
        <v>297130.65713517606</v>
      </c>
      <c r="O203" s="128">
        <v>321187.47218695731</v>
      </c>
      <c r="P203" s="128">
        <v>44107.765396696028</v>
      </c>
      <c r="Q203" s="123">
        <f>SUM(M203:P203)</f>
        <v>1274493.9256502569</v>
      </c>
      <c r="R203" s="124">
        <v>40</v>
      </c>
      <c r="S203" s="466" t="s">
        <v>222</v>
      </c>
      <c r="T203" s="129">
        <f t="shared" ref="T203:T217" si="4">SUM(Q203/R203)</f>
        <v>31862.348141256422</v>
      </c>
      <c r="U203" s="454">
        <f>SUM(Q203-G203)*100/G203</f>
        <v>3.840449807590169E-2</v>
      </c>
      <c r="V203" s="454">
        <f>SUM(R203-H203)*100/H203</f>
        <v>25</v>
      </c>
      <c r="W203" s="454">
        <f>SUM(T203-J203)*100/J203</f>
        <v>-19.969276401539283</v>
      </c>
    </row>
    <row r="204" spans="1:24" ht="18" customHeight="1" x14ac:dyDescent="0.35">
      <c r="A204" s="136"/>
      <c r="B204" s="136"/>
      <c r="C204" s="138"/>
      <c r="D204" s="138"/>
      <c r="E204" s="138"/>
      <c r="F204" s="138"/>
      <c r="G204" s="138"/>
      <c r="H204" s="136"/>
      <c r="I204" s="136"/>
      <c r="J204" s="136"/>
      <c r="K204" s="136"/>
      <c r="L204" s="136"/>
      <c r="M204" s="138"/>
      <c r="N204" s="138"/>
      <c r="O204" s="138"/>
      <c r="P204" s="138"/>
      <c r="Q204" s="138"/>
      <c r="R204" s="136"/>
      <c r="S204" s="136"/>
      <c r="T204" s="129"/>
      <c r="U204" s="130"/>
      <c r="V204" s="130"/>
      <c r="W204" s="130"/>
    </row>
    <row r="205" spans="1:24" ht="21.95" customHeight="1" x14ac:dyDescent="0.35">
      <c r="A205" s="126" t="s">
        <v>332</v>
      </c>
      <c r="B205" s="127"/>
      <c r="C205" s="128">
        <v>47591036.088435575</v>
      </c>
      <c r="D205" s="128">
        <v>1519374.5996548811</v>
      </c>
      <c r="E205" s="128">
        <v>1368307.5291827614</v>
      </c>
      <c r="F205" s="128">
        <v>35361013.628170855</v>
      </c>
      <c r="G205" s="123">
        <f>SUM(C205:F205)</f>
        <v>85839731.845444083</v>
      </c>
      <c r="H205" s="124">
        <v>21</v>
      </c>
      <c r="I205" s="125" t="s">
        <v>229</v>
      </c>
      <c r="J205" s="129">
        <f>SUM(G205/H205)</f>
        <v>4087606.2783544799</v>
      </c>
      <c r="K205" s="126" t="s">
        <v>434</v>
      </c>
      <c r="L205" s="127"/>
      <c r="M205" s="128">
        <v>47629659.439916186</v>
      </c>
      <c r="N205" s="128">
        <v>1627013.4627264044</v>
      </c>
      <c r="O205" s="128">
        <v>1435998.2382093375</v>
      </c>
      <c r="P205" s="128">
        <v>25037393.82292217</v>
      </c>
      <c r="Q205" s="123">
        <f>SUM(M205:P205)</f>
        <v>75730064.9637741</v>
      </c>
      <c r="R205" s="124">
        <v>24</v>
      </c>
      <c r="S205" s="125" t="s">
        <v>229</v>
      </c>
      <c r="T205" s="129">
        <f t="shared" si="4"/>
        <v>3155419.3734905873</v>
      </c>
      <c r="U205" s="454">
        <f>SUM(Q205-G205)*100/G205</f>
        <v>-11.777374724180888</v>
      </c>
      <c r="V205" s="454">
        <f>SUM(R205-H205)*100/H205</f>
        <v>14.285714285714286</v>
      </c>
      <c r="W205" s="454">
        <f>SUM(T205-J205)*100/J205</f>
        <v>-22.805202883658279</v>
      </c>
    </row>
    <row r="206" spans="1:24" ht="18" customHeight="1" x14ac:dyDescent="0.35">
      <c r="A206" s="136"/>
      <c r="B206" s="136"/>
      <c r="C206" s="138"/>
      <c r="D206" s="138"/>
      <c r="E206" s="138"/>
      <c r="F206" s="138"/>
      <c r="G206" s="138"/>
      <c r="H206" s="136"/>
      <c r="I206" s="136"/>
      <c r="J206" s="136"/>
      <c r="K206" s="136"/>
      <c r="L206" s="136"/>
      <c r="M206" s="138"/>
      <c r="N206" s="138"/>
      <c r="O206" s="138"/>
      <c r="P206" s="138"/>
      <c r="Q206" s="138"/>
      <c r="R206" s="136"/>
      <c r="S206" s="136"/>
      <c r="T206" s="129"/>
      <c r="U206" s="130"/>
      <c r="V206" s="138"/>
      <c r="W206" s="138"/>
    </row>
    <row r="207" spans="1:24" ht="31.5" x14ac:dyDescent="0.35">
      <c r="A207" s="126" t="s">
        <v>329</v>
      </c>
      <c r="B207" s="127"/>
      <c r="C207" s="128">
        <v>18027724.881646529</v>
      </c>
      <c r="D207" s="128">
        <v>180416.59406392777</v>
      </c>
      <c r="E207" s="128">
        <v>162478.288174132</v>
      </c>
      <c r="F207" s="128">
        <v>4198907.6577243302</v>
      </c>
      <c r="G207" s="123">
        <f>SUM(C207:F207)</f>
        <v>22569527.421608917</v>
      </c>
      <c r="H207" s="124">
        <v>12</v>
      </c>
      <c r="I207" s="125" t="s">
        <v>222</v>
      </c>
      <c r="J207" s="129">
        <f>SUM(G207/H207)</f>
        <v>1880793.9518007431</v>
      </c>
      <c r="K207" s="126" t="s">
        <v>428</v>
      </c>
      <c r="L207" s="127"/>
      <c r="M207" s="128">
        <v>3191277.6315086456</v>
      </c>
      <c r="N207" s="128">
        <v>34955.308982514267</v>
      </c>
      <c r="O207" s="128">
        <v>30851.473122318188</v>
      </c>
      <c r="P207" s="128">
        <v>537911.85951871192</v>
      </c>
      <c r="Q207" s="123">
        <f>SUM(M207:P207)</f>
        <v>3794996.2731321901</v>
      </c>
      <c r="R207" s="124">
        <v>134</v>
      </c>
      <c r="S207" s="125" t="s">
        <v>222</v>
      </c>
      <c r="T207" s="129">
        <f>SUM(Q207/R207)</f>
        <v>28320.867709941718</v>
      </c>
      <c r="U207" s="454">
        <f>SUM(Q207-G207)*100/G207</f>
        <v>-83.185309101781556</v>
      </c>
      <c r="V207" s="130">
        <f>SUM(R207-H207)*100/H207</f>
        <v>1016.6666666666666</v>
      </c>
      <c r="W207" s="452">
        <f>SUM(T207-J207)*100/J207</f>
        <v>-98.494206785234169</v>
      </c>
    </row>
    <row r="208" spans="1:24" ht="18" customHeight="1" x14ac:dyDescent="0.35">
      <c r="A208" s="136"/>
      <c r="B208" s="136"/>
      <c r="C208" s="138"/>
      <c r="D208" s="138"/>
      <c r="E208" s="138"/>
      <c r="F208" s="138"/>
      <c r="G208" s="138"/>
      <c r="H208" s="136"/>
      <c r="I208" s="136"/>
      <c r="J208" s="136"/>
      <c r="K208" s="136"/>
      <c r="L208" s="136"/>
      <c r="M208" s="138"/>
      <c r="N208" s="138"/>
      <c r="O208" s="138"/>
      <c r="P208" s="138"/>
      <c r="Q208" s="138"/>
      <c r="R208" s="136"/>
      <c r="S208" s="136"/>
      <c r="T208" s="129"/>
      <c r="U208" s="130"/>
      <c r="V208" s="131"/>
      <c r="W208" s="130"/>
    </row>
    <row r="209" spans="1:24" ht="21.95" customHeight="1" x14ac:dyDescent="0.35">
      <c r="A209" s="126" t="s">
        <v>216</v>
      </c>
      <c r="B209" s="127"/>
      <c r="C209" s="128">
        <v>503568.86079491547</v>
      </c>
      <c r="D209" s="128">
        <v>212221.28246252693</v>
      </c>
      <c r="E209" s="128">
        <v>174888.10814148918</v>
      </c>
      <c r="F209" s="128">
        <v>51825.485909668947</v>
      </c>
      <c r="G209" s="123">
        <f>SUM(C209:F209)</f>
        <v>942503.73730860057</v>
      </c>
      <c r="H209" s="124">
        <v>4</v>
      </c>
      <c r="I209" s="125" t="s">
        <v>230</v>
      </c>
      <c r="J209" s="129">
        <f>SUM(G209/H209)</f>
        <v>235625.93432715014</v>
      </c>
      <c r="K209" s="126" t="s">
        <v>216</v>
      </c>
      <c r="L209" s="127"/>
      <c r="M209" s="128">
        <v>506502.40885624668</v>
      </c>
      <c r="N209" s="128">
        <v>311288.08533436462</v>
      </c>
      <c r="O209" s="128">
        <v>265832.59515534114</v>
      </c>
      <c r="P209" s="128">
        <v>41717.773486837476</v>
      </c>
      <c r="Q209" s="123">
        <f>SUM(M209:P209)</f>
        <v>1125340.86283279</v>
      </c>
      <c r="R209" s="124">
        <v>5</v>
      </c>
      <c r="S209" s="125" t="s">
        <v>230</v>
      </c>
      <c r="T209" s="129">
        <f t="shared" si="4"/>
        <v>225068.172566558</v>
      </c>
      <c r="U209" s="454">
        <f>SUM(Q209-G209)*100/G209</f>
        <v>19.399087588373533</v>
      </c>
      <c r="V209" s="454">
        <f>SUM(R209-H209)*100/H209</f>
        <v>25</v>
      </c>
      <c r="W209" s="454">
        <f>SUM(T209-J209)*100/J209</f>
        <v>-4.4807299293011713</v>
      </c>
    </row>
    <row r="210" spans="1:24" ht="18" customHeight="1" x14ac:dyDescent="0.35">
      <c r="A210" s="126"/>
      <c r="B210" s="127"/>
      <c r="C210" s="128"/>
      <c r="D210" s="128"/>
      <c r="E210" s="128"/>
      <c r="F210" s="128"/>
      <c r="G210" s="123"/>
      <c r="H210" s="124"/>
      <c r="I210" s="125"/>
      <c r="J210" s="129"/>
      <c r="K210" s="126"/>
      <c r="L210" s="127"/>
      <c r="M210" s="128"/>
      <c r="N210" s="128"/>
      <c r="O210" s="128"/>
      <c r="P210" s="128"/>
      <c r="Q210" s="123"/>
      <c r="R210" s="124"/>
      <c r="S210" s="125"/>
      <c r="T210" s="129"/>
      <c r="U210" s="130"/>
      <c r="V210" s="138"/>
      <c r="W210" s="138"/>
    </row>
    <row r="211" spans="1:24" ht="21.95" customHeight="1" x14ac:dyDescent="0.35">
      <c r="A211" s="126" t="s">
        <v>217</v>
      </c>
      <c r="B211" s="127"/>
      <c r="C211" s="128">
        <v>1702107.5300989426</v>
      </c>
      <c r="D211" s="128">
        <v>346269.66615929164</v>
      </c>
      <c r="E211" s="128">
        <v>12245.679670031355</v>
      </c>
      <c r="F211" s="128">
        <v>220192.29865036489</v>
      </c>
      <c r="G211" s="123">
        <f>SUM(C211:F211)</f>
        <v>2280815.1745786308</v>
      </c>
      <c r="H211" s="124">
        <v>76912</v>
      </c>
      <c r="I211" s="125" t="s">
        <v>227</v>
      </c>
      <c r="J211" s="129">
        <f>SUM(G211/H211)</f>
        <v>29.654867570452346</v>
      </c>
      <c r="K211" s="126" t="s">
        <v>217</v>
      </c>
      <c r="L211" s="127"/>
      <c r="M211" s="128">
        <v>877943.97397495958</v>
      </c>
      <c r="N211" s="128">
        <v>13404.64956648728</v>
      </c>
      <c r="O211" s="128">
        <v>6043.9917276386377</v>
      </c>
      <c r="P211" s="128">
        <v>46853.20537928219</v>
      </c>
      <c r="Q211" s="123">
        <f>SUM(M211:P211)</f>
        <v>944245.82064836775</v>
      </c>
      <c r="R211" s="124">
        <v>72411</v>
      </c>
      <c r="S211" s="125" t="s">
        <v>227</v>
      </c>
      <c r="T211" s="129">
        <f t="shared" si="4"/>
        <v>13.040088117114358</v>
      </c>
      <c r="U211" s="454">
        <f>SUM(Q211-G211)*100/G211</f>
        <v>-58.600511292072909</v>
      </c>
      <c r="V211" s="454">
        <f>SUM(R211-H211)*100/H211</f>
        <v>-5.8521427085500308</v>
      </c>
      <c r="W211" s="452">
        <f>SUM(T211-J211)*100/J211</f>
        <v>-56.027157814364003</v>
      </c>
    </row>
    <row r="212" spans="1:24" ht="18" customHeight="1" x14ac:dyDescent="0.35">
      <c r="A212" s="126"/>
      <c r="B212" s="127"/>
      <c r="C212" s="128"/>
      <c r="D212" s="128"/>
      <c r="E212" s="128"/>
      <c r="F212" s="128"/>
      <c r="G212" s="123"/>
      <c r="H212" s="124"/>
      <c r="I212" s="125"/>
      <c r="J212" s="129"/>
      <c r="K212" s="126"/>
      <c r="L212" s="127"/>
      <c r="M212" s="128"/>
      <c r="N212" s="128"/>
      <c r="O212" s="128"/>
      <c r="P212" s="128"/>
      <c r="Q212" s="123"/>
      <c r="R212" s="124"/>
      <c r="S212" s="125"/>
      <c r="T212" s="129"/>
      <c r="U212" s="130"/>
      <c r="V212" s="138"/>
      <c r="W212" s="138"/>
    </row>
    <row r="213" spans="1:24" ht="21.95" customHeight="1" x14ac:dyDescent="0.35">
      <c r="A213" s="126" t="s">
        <v>218</v>
      </c>
      <c r="B213" s="127"/>
      <c r="C213" s="128">
        <v>2491769.9869092731</v>
      </c>
      <c r="D213" s="128">
        <v>985273.74428864091</v>
      </c>
      <c r="E213" s="128">
        <v>208159.47734100814</v>
      </c>
      <c r="F213" s="128">
        <v>847721.07894624339</v>
      </c>
      <c r="G213" s="123">
        <f>SUM(C213:F213)</f>
        <v>4532924.2874851655</v>
      </c>
      <c r="H213" s="124">
        <v>151097</v>
      </c>
      <c r="I213" s="125" t="s">
        <v>231</v>
      </c>
      <c r="J213" s="129">
        <f>SUM(G213/H213)</f>
        <v>30.000094558364268</v>
      </c>
      <c r="K213" s="126" t="s">
        <v>218</v>
      </c>
      <c r="L213" s="127"/>
      <c r="M213" s="128">
        <v>16232989.360555658</v>
      </c>
      <c r="N213" s="128">
        <v>5778819.300554092</v>
      </c>
      <c r="O213" s="128">
        <v>1106944.8588657894</v>
      </c>
      <c r="P213" s="128">
        <v>2739352.3785607181</v>
      </c>
      <c r="Q213" s="123">
        <f>SUM(M213:P213)</f>
        <v>25858105.898536257</v>
      </c>
      <c r="R213" s="124">
        <v>12</v>
      </c>
      <c r="S213" s="125" t="s">
        <v>331</v>
      </c>
      <c r="T213" s="129">
        <f t="shared" si="4"/>
        <v>2154842.1582113546</v>
      </c>
      <c r="U213" s="454"/>
      <c r="V213" s="454"/>
      <c r="W213" s="130"/>
    </row>
    <row r="214" spans="1:24" ht="21.95" customHeight="1" x14ac:dyDescent="0.35">
      <c r="A214" s="136"/>
      <c r="B214" s="136"/>
      <c r="C214" s="138"/>
      <c r="D214" s="138"/>
      <c r="E214" s="138"/>
      <c r="F214" s="138"/>
      <c r="G214" s="138"/>
      <c r="H214" s="136"/>
      <c r="I214" s="136"/>
      <c r="J214" s="136"/>
      <c r="K214" s="136"/>
      <c r="L214" s="136"/>
      <c r="M214" s="138"/>
      <c r="N214" s="138"/>
      <c r="O214" s="138"/>
      <c r="P214" s="138"/>
      <c r="Q214" s="138"/>
      <c r="R214" s="136"/>
      <c r="S214" s="136"/>
      <c r="T214" s="129"/>
      <c r="U214" s="130"/>
      <c r="V214" s="130"/>
      <c r="W214" s="130"/>
    </row>
    <row r="215" spans="1:24" ht="21.95" customHeight="1" x14ac:dyDescent="0.35">
      <c r="A215" s="126" t="s">
        <v>219</v>
      </c>
      <c r="B215" s="127"/>
      <c r="C215" s="128">
        <v>54855856.92991516</v>
      </c>
      <c r="D215" s="128">
        <v>10630139.872258371</v>
      </c>
      <c r="E215" s="128">
        <v>543960.18198342575</v>
      </c>
      <c r="F215" s="128">
        <v>6893773.4704408692</v>
      </c>
      <c r="G215" s="123">
        <f>SUM(C215:F215)</f>
        <v>72923730.454597831</v>
      </c>
      <c r="H215" s="124">
        <v>10</v>
      </c>
      <c r="I215" s="125" t="s">
        <v>225</v>
      </c>
      <c r="J215" s="129">
        <f>SUM(G215/H215)</f>
        <v>7292373.0454597827</v>
      </c>
      <c r="K215" s="126" t="s">
        <v>219</v>
      </c>
      <c r="L215" s="127"/>
      <c r="M215" s="128">
        <v>4858509.2853885926</v>
      </c>
      <c r="N215" s="128">
        <v>327721.93482394447</v>
      </c>
      <c r="O215" s="128">
        <v>177504.27749640075</v>
      </c>
      <c r="P215" s="128">
        <v>508735.3912176342</v>
      </c>
      <c r="Q215" s="123">
        <f>SUM(M215:P215)</f>
        <v>5872470.8889265712</v>
      </c>
      <c r="R215" s="124">
        <v>10</v>
      </c>
      <c r="S215" s="125" t="s">
        <v>225</v>
      </c>
      <c r="T215" s="129">
        <f t="shared" si="4"/>
        <v>587247.08889265708</v>
      </c>
      <c r="U215" s="454">
        <f>SUM(Q215-G215)*100/G215</f>
        <v>-91.947105760610029</v>
      </c>
      <c r="V215" s="454">
        <f>SUM(R215-H215)*100/H215</f>
        <v>0</v>
      </c>
      <c r="W215" s="452">
        <f>SUM(T215-J215)*100/J215</f>
        <v>-91.947105760610029</v>
      </c>
    </row>
    <row r="216" spans="1:24" ht="18" customHeight="1" x14ac:dyDescent="0.35">
      <c r="A216" s="126"/>
      <c r="B216" s="127"/>
      <c r="C216" s="128"/>
      <c r="D216" s="128"/>
      <c r="E216" s="128"/>
      <c r="F216" s="128"/>
      <c r="G216" s="123"/>
      <c r="H216" s="124"/>
      <c r="I216" s="125"/>
      <c r="J216" s="129"/>
      <c r="K216" s="126"/>
      <c r="L216" s="127"/>
      <c r="M216" s="128"/>
      <c r="N216" s="128"/>
      <c r="O216" s="128"/>
      <c r="P216" s="128"/>
      <c r="Q216" s="123"/>
      <c r="R216" s="124"/>
      <c r="S216" s="125"/>
      <c r="T216" s="129"/>
      <c r="U216" s="130"/>
      <c r="V216" s="138"/>
      <c r="W216" s="138"/>
    </row>
    <row r="217" spans="1:24" ht="21.95" customHeight="1" x14ac:dyDescent="0.35">
      <c r="A217" s="126" t="s">
        <v>220</v>
      </c>
      <c r="B217" s="127"/>
      <c r="C217" s="128">
        <v>99767.495004122611</v>
      </c>
      <c r="D217" s="128">
        <v>14427.902756637153</v>
      </c>
      <c r="E217" s="128">
        <v>510.23665291797312</v>
      </c>
      <c r="F217" s="128">
        <v>9174.6791104318709</v>
      </c>
      <c r="G217" s="123">
        <f>SUM(C217:F217)</f>
        <v>123880.3135241096</v>
      </c>
      <c r="H217" s="124">
        <v>12</v>
      </c>
      <c r="I217" s="125" t="s">
        <v>224</v>
      </c>
      <c r="J217" s="129">
        <f>SUM(G217/H217)</f>
        <v>10323.359460342466</v>
      </c>
      <c r="K217" s="126" t="s">
        <v>220</v>
      </c>
      <c r="L217" s="127"/>
      <c r="M217" s="128">
        <v>238241.83490385881</v>
      </c>
      <c r="N217" s="128">
        <v>3510.3562525196239</v>
      </c>
      <c r="O217" s="128">
        <v>1582.7764870732854</v>
      </c>
      <c r="P217" s="128">
        <v>12269.730860024969</v>
      </c>
      <c r="Q217" s="123">
        <f>SUM(M217:P217)</f>
        <v>255604.69850347668</v>
      </c>
      <c r="R217" s="124">
        <v>4</v>
      </c>
      <c r="S217" s="125" t="s">
        <v>224</v>
      </c>
      <c r="T217" s="129">
        <f t="shared" si="4"/>
        <v>63901.174625869171</v>
      </c>
      <c r="U217" s="454">
        <f>SUM(Q217-G217)*100/G217</f>
        <v>106.33197578542685</v>
      </c>
      <c r="V217" s="454">
        <f>SUM(R217-H217)*100/H217</f>
        <v>-66.666666666666671</v>
      </c>
      <c r="W217" s="452">
        <f>SUM(T217-J217)*100/J217</f>
        <v>518.99592735628062</v>
      </c>
    </row>
    <row r="218" spans="1:24" ht="18" customHeight="1" x14ac:dyDescent="0.35">
      <c r="A218" s="126"/>
      <c r="B218" s="127"/>
      <c r="C218" s="128"/>
      <c r="D218" s="128"/>
      <c r="E218" s="128"/>
      <c r="F218" s="128"/>
      <c r="G218" s="123"/>
      <c r="H218" s="124"/>
      <c r="I218" s="125"/>
      <c r="J218" s="129"/>
      <c r="K218" s="126"/>
      <c r="L218" s="127"/>
      <c r="M218" s="128"/>
      <c r="N218" s="128"/>
      <c r="O218" s="128"/>
      <c r="P218" s="128"/>
      <c r="Q218" s="123"/>
      <c r="R218" s="124"/>
      <c r="S218" s="125"/>
      <c r="T218" s="129"/>
      <c r="U218" s="130"/>
      <c r="V218" s="138"/>
      <c r="W218" s="138"/>
    </row>
    <row r="219" spans="1:24" ht="31.5" x14ac:dyDescent="0.35">
      <c r="A219" s="126" t="s">
        <v>338</v>
      </c>
      <c r="B219" s="127"/>
      <c r="C219" s="128">
        <v>2446427.5156352241</v>
      </c>
      <c r="D219" s="128">
        <v>486963.44310883887</v>
      </c>
      <c r="E219" s="128">
        <v>22604.712536908934</v>
      </c>
      <c r="F219" s="128">
        <v>312481.18901381758</v>
      </c>
      <c r="G219" s="123">
        <f>SUM(C219:F219)</f>
        <v>3268476.86029479</v>
      </c>
      <c r="H219" s="124">
        <v>186</v>
      </c>
      <c r="I219" s="125" t="s">
        <v>222</v>
      </c>
      <c r="J219" s="129">
        <f>SUM(G219/H219)</f>
        <v>17572.456238144034</v>
      </c>
      <c r="K219" s="126" t="s">
        <v>482</v>
      </c>
      <c r="L219" s="127"/>
      <c r="M219" s="128">
        <v>15867099.26987117</v>
      </c>
      <c r="N219" s="128">
        <v>2295453.6935606683</v>
      </c>
      <c r="O219" s="128">
        <v>409811.94823521998</v>
      </c>
      <c r="P219" s="128">
        <v>809217.97284686961</v>
      </c>
      <c r="Q219" s="123">
        <f>SUM(M219:P219)</f>
        <v>19381582.884513929</v>
      </c>
      <c r="R219" s="124">
        <v>336</v>
      </c>
      <c r="S219" s="125" t="s">
        <v>222</v>
      </c>
      <c r="T219" s="129">
        <f>SUM(Q219/R219)</f>
        <v>57683.282394386697</v>
      </c>
      <c r="U219" s="130"/>
      <c r="V219" s="138"/>
      <c r="W219" s="138"/>
      <c r="X219" s="519"/>
    </row>
    <row r="220" spans="1:24" ht="18" customHeight="1" x14ac:dyDescent="0.35">
      <c r="A220" s="136"/>
      <c r="B220" s="136"/>
      <c r="C220" s="138"/>
      <c r="D220" s="138"/>
      <c r="E220" s="138"/>
      <c r="F220" s="138"/>
      <c r="G220" s="138"/>
      <c r="H220" s="136"/>
      <c r="I220" s="136"/>
      <c r="J220" s="136"/>
      <c r="K220" s="136"/>
      <c r="L220" s="136"/>
      <c r="M220" s="138"/>
      <c r="N220" s="138"/>
      <c r="O220" s="138"/>
      <c r="P220" s="138"/>
      <c r="Q220" s="138"/>
      <c r="R220" s="136"/>
      <c r="S220" s="136"/>
      <c r="T220" s="129"/>
      <c r="U220" s="130"/>
      <c r="V220" s="138"/>
      <c r="W220" s="138"/>
    </row>
    <row r="221" spans="1:24" ht="21.95" customHeight="1" x14ac:dyDescent="0.35">
      <c r="A221" s="126"/>
      <c r="B221" s="127"/>
      <c r="C221" s="128"/>
      <c r="D221" s="128"/>
      <c r="E221" s="128"/>
      <c r="F221" s="128"/>
      <c r="G221" s="123"/>
      <c r="H221" s="124"/>
      <c r="I221" s="125"/>
      <c r="J221" s="129"/>
      <c r="K221" s="126" t="s">
        <v>483</v>
      </c>
      <c r="L221" s="127"/>
      <c r="M221" s="128">
        <v>29994364.600951266</v>
      </c>
      <c r="N221" s="128">
        <v>6908464.7440235736</v>
      </c>
      <c r="O221" s="128">
        <v>1592539.9850585768</v>
      </c>
      <c r="P221" s="128">
        <v>5747777.586865251</v>
      </c>
      <c r="Q221" s="123">
        <f>SUM(M221:P221)</f>
        <v>44243146.916898668</v>
      </c>
      <c r="R221" s="124">
        <v>12</v>
      </c>
      <c r="S221" s="125" t="s">
        <v>331</v>
      </c>
      <c r="T221" s="129">
        <f>SUM(Q221/R221)</f>
        <v>3686928.9097415558</v>
      </c>
      <c r="U221" s="130"/>
      <c r="V221" s="131"/>
      <c r="W221" s="131"/>
      <c r="X221" s="519"/>
    </row>
    <row r="222" spans="1:24" ht="18" customHeight="1" x14ac:dyDescent="0.35">
      <c r="A222" s="136"/>
      <c r="B222" s="136"/>
      <c r="C222" s="138"/>
      <c r="D222" s="138"/>
      <c r="E222" s="138"/>
      <c r="F222" s="138"/>
      <c r="G222" s="138"/>
      <c r="H222" s="136"/>
      <c r="I222" s="136"/>
      <c r="J222" s="136"/>
      <c r="K222" s="136"/>
      <c r="L222" s="136"/>
      <c r="M222" s="138"/>
      <c r="N222" s="138"/>
      <c r="O222" s="138"/>
      <c r="P222" s="138"/>
      <c r="Q222" s="138"/>
      <c r="R222" s="136"/>
      <c r="S222" s="136"/>
      <c r="T222" s="129"/>
      <c r="U222" s="130"/>
      <c r="V222" s="131"/>
      <c r="W222" s="131"/>
    </row>
    <row r="223" spans="1:24" ht="31.5" x14ac:dyDescent="0.35">
      <c r="A223" s="126"/>
      <c r="B223" s="127"/>
      <c r="C223" s="128"/>
      <c r="D223" s="128"/>
      <c r="E223" s="128"/>
      <c r="F223" s="128"/>
      <c r="G223" s="123"/>
      <c r="H223" s="124"/>
      <c r="I223" s="125"/>
      <c r="J223" s="129"/>
      <c r="K223" s="126" t="s">
        <v>484</v>
      </c>
      <c r="L223" s="127"/>
      <c r="M223" s="128">
        <v>3010311.4043866568</v>
      </c>
      <c r="N223" s="128">
        <v>333578.19466264482</v>
      </c>
      <c r="O223" s="128">
        <v>39770.451222290583</v>
      </c>
      <c r="P223" s="128">
        <v>146106.18497741845</v>
      </c>
      <c r="Q223" s="123">
        <f>SUM(M223:P223)</f>
        <v>3529766.2352490108</v>
      </c>
      <c r="R223" s="124">
        <v>12</v>
      </c>
      <c r="S223" s="125" t="s">
        <v>331</v>
      </c>
      <c r="T223" s="129">
        <f>SUM(Q223/R223)</f>
        <v>294147.18627075088</v>
      </c>
      <c r="U223" s="130"/>
      <c r="V223" s="131"/>
      <c r="W223" s="131"/>
      <c r="X223" s="519"/>
    </row>
    <row r="224" spans="1:24" ht="18" customHeight="1" x14ac:dyDescent="0.35">
      <c r="A224" s="136"/>
      <c r="B224" s="136"/>
      <c r="C224" s="138"/>
      <c r="D224" s="138"/>
      <c r="E224" s="138"/>
      <c r="F224" s="138"/>
      <c r="G224" s="138"/>
      <c r="H224" s="136"/>
      <c r="I224" s="136"/>
      <c r="J224" s="136"/>
      <c r="K224" s="136"/>
      <c r="L224" s="136"/>
      <c r="M224" s="138"/>
      <c r="N224" s="138"/>
      <c r="O224" s="138"/>
      <c r="P224" s="138"/>
      <c r="Q224" s="138"/>
      <c r="R224" s="136"/>
      <c r="S224" s="136"/>
      <c r="T224" s="129"/>
      <c r="U224" s="130"/>
      <c r="V224" s="131"/>
      <c r="W224" s="131"/>
    </row>
    <row r="225" spans="1:24" ht="31.5" x14ac:dyDescent="0.35">
      <c r="A225" s="126"/>
      <c r="B225" s="127"/>
      <c r="C225" s="128"/>
      <c r="D225" s="128"/>
      <c r="E225" s="128"/>
      <c r="F225" s="128"/>
      <c r="G225" s="123"/>
      <c r="H225" s="124"/>
      <c r="I225" s="125"/>
      <c r="J225" s="129"/>
      <c r="K225" s="126" t="s">
        <v>485</v>
      </c>
      <c r="L225" s="127"/>
      <c r="M225" s="128">
        <v>540620.11008369271</v>
      </c>
      <c r="N225" s="128">
        <v>72058.987027572599</v>
      </c>
      <c r="O225" s="128">
        <v>8503.8068824353522</v>
      </c>
      <c r="P225" s="128">
        <v>26036.66717731929</v>
      </c>
      <c r="Q225" s="123">
        <f>SUM(M225:P225)</f>
        <v>647219.57117101992</v>
      </c>
      <c r="R225" s="124">
        <v>12</v>
      </c>
      <c r="S225" s="125" t="s">
        <v>331</v>
      </c>
      <c r="T225" s="129">
        <f>SUM(Q225/R225)</f>
        <v>53934.964264251663</v>
      </c>
      <c r="U225" s="130"/>
      <c r="V225" s="131"/>
      <c r="W225" s="131"/>
      <c r="X225" s="519"/>
    </row>
    <row r="226" spans="1:24" ht="18" customHeight="1" x14ac:dyDescent="0.35">
      <c r="A226" s="136"/>
      <c r="B226" s="136"/>
      <c r="C226" s="138"/>
      <c r="D226" s="138"/>
      <c r="E226" s="138"/>
      <c r="F226" s="138"/>
      <c r="G226" s="138"/>
      <c r="H226" s="136"/>
      <c r="I226" s="136"/>
      <c r="J226" s="136"/>
      <c r="K226" s="136"/>
      <c r="L226" s="136"/>
      <c r="M226" s="138"/>
      <c r="N226" s="138"/>
      <c r="O226" s="138"/>
      <c r="P226" s="138"/>
      <c r="Q226" s="138"/>
      <c r="R226" s="136"/>
      <c r="S226" s="136"/>
      <c r="T226" s="129"/>
      <c r="U226" s="130"/>
      <c r="V226" s="131"/>
      <c r="W226" s="131"/>
    </row>
    <row r="227" spans="1:24" x14ac:dyDescent="0.35">
      <c r="A227" s="126"/>
      <c r="B227" s="127"/>
      <c r="C227" s="128"/>
      <c r="D227" s="128"/>
      <c r="E227" s="128"/>
      <c r="F227" s="128"/>
      <c r="G227" s="123"/>
      <c r="H227" s="124"/>
      <c r="I227" s="125"/>
      <c r="J227" s="129"/>
      <c r="K227" s="126" t="s">
        <v>486</v>
      </c>
      <c r="L227" s="127"/>
      <c r="M227" s="128">
        <v>1052753.2402529758</v>
      </c>
      <c r="N227" s="128">
        <v>240628.30537218953</v>
      </c>
      <c r="O227" s="128">
        <v>40096.154684729401</v>
      </c>
      <c r="P227" s="128">
        <v>291397.28726665239</v>
      </c>
      <c r="Q227" s="123">
        <f>SUM(M227:P227)</f>
        <v>1624874.9875765471</v>
      </c>
      <c r="R227" s="124">
        <v>12</v>
      </c>
      <c r="S227" s="125" t="s">
        <v>331</v>
      </c>
      <c r="T227" s="129">
        <f>SUM(Q227/R227)</f>
        <v>135406.24896471226</v>
      </c>
      <c r="U227" s="130"/>
      <c r="V227" s="131"/>
      <c r="W227" s="131"/>
      <c r="X227" s="519"/>
    </row>
    <row r="228" spans="1:24" ht="18" customHeight="1" x14ac:dyDescent="0.35">
      <c r="A228" s="136"/>
      <c r="B228" s="136"/>
      <c r="C228" s="138"/>
      <c r="D228" s="138"/>
      <c r="E228" s="138"/>
      <c r="F228" s="138"/>
      <c r="G228" s="138"/>
      <c r="H228" s="136"/>
      <c r="I228" s="136"/>
      <c r="J228" s="136"/>
      <c r="K228" s="136"/>
      <c r="L228" s="136"/>
      <c r="M228" s="138"/>
      <c r="N228" s="138"/>
      <c r="O228" s="138"/>
      <c r="P228" s="138"/>
      <c r="Q228" s="138"/>
      <c r="R228" s="136"/>
      <c r="S228" s="136"/>
      <c r="T228" s="129"/>
      <c r="U228" s="130"/>
      <c r="V228" s="131"/>
      <c r="W228" s="131"/>
    </row>
    <row r="229" spans="1:24" ht="21.95" customHeight="1" x14ac:dyDescent="0.35">
      <c r="A229" s="126" t="s">
        <v>234</v>
      </c>
      <c r="B229" s="127">
        <f>190795712.06</f>
        <v>190795712.06</v>
      </c>
      <c r="C229" s="128">
        <f>156558377.293003+190795712.06</f>
        <v>347354089.35300303</v>
      </c>
      <c r="D229" s="128">
        <v>18428423.045709409</v>
      </c>
      <c r="E229" s="128">
        <v>13784113.332119342</v>
      </c>
      <c r="F229" s="128">
        <v>37799148.296381049</v>
      </c>
      <c r="G229" s="123">
        <f>SUM(C229:F229)</f>
        <v>417365774.02721286</v>
      </c>
      <c r="H229" s="124">
        <v>118056</v>
      </c>
      <c r="I229" s="125" t="s">
        <v>222</v>
      </c>
      <c r="J229" s="129">
        <f>SUM(G229/H229)</f>
        <v>3535.3203058481809</v>
      </c>
      <c r="K229" s="126"/>
      <c r="L229" s="127">
        <f>190795712.06</f>
        <v>190795712.06</v>
      </c>
      <c r="M229" s="128"/>
      <c r="N229" s="128"/>
      <c r="O229" s="128"/>
      <c r="P229" s="128"/>
      <c r="Q229" s="123"/>
      <c r="R229" s="124"/>
      <c r="S229" s="125"/>
      <c r="T229" s="129"/>
      <c r="U229" s="130"/>
      <c r="V229" s="130"/>
      <c r="W229" s="130"/>
    </row>
    <row r="230" spans="1:24" ht="18" customHeight="1" x14ac:dyDescent="0.35">
      <c r="A230" s="126"/>
      <c r="B230" s="127"/>
      <c r="C230" s="128"/>
      <c r="D230" s="128"/>
      <c r="E230" s="128"/>
      <c r="F230" s="128"/>
      <c r="G230" s="123"/>
      <c r="H230" s="124"/>
      <c r="I230" s="125"/>
      <c r="J230" s="129"/>
      <c r="K230" s="126"/>
      <c r="L230" s="127"/>
      <c r="M230" s="128"/>
      <c r="N230" s="128"/>
      <c r="O230" s="128"/>
      <c r="P230" s="128"/>
      <c r="Q230" s="123"/>
      <c r="R230" s="124"/>
      <c r="S230" s="125"/>
      <c r="T230" s="129"/>
      <c r="U230" s="130"/>
      <c r="V230" s="130"/>
      <c r="W230" s="130"/>
    </row>
    <row r="231" spans="1:24" ht="21.75" thickBot="1" x14ac:dyDescent="0.4">
      <c r="A231" s="142" t="s">
        <v>178</v>
      </c>
      <c r="B231" s="143">
        <f>SUM(B14:B230)</f>
        <v>767513661.8900001</v>
      </c>
      <c r="C231" s="144">
        <f>SUM(C41:C230)</f>
        <v>2288215733.9544544</v>
      </c>
      <c r="D231" s="144">
        <f>SUM(D41:D230)</f>
        <v>219261304.80702731</v>
      </c>
      <c r="E231" s="144">
        <f>SUM(E41:E230)</f>
        <v>63200778.537858546</v>
      </c>
      <c r="F231" s="144">
        <f>SUM(F41:F230)</f>
        <v>239126504.40518096</v>
      </c>
      <c r="G231" s="144">
        <f>SUM(G6:G230)</f>
        <v>2866442012.5700016</v>
      </c>
      <c r="H231" s="145"/>
      <c r="I231" s="146"/>
      <c r="J231" s="145"/>
      <c r="K231" s="142" t="s">
        <v>178</v>
      </c>
      <c r="L231" s="143">
        <f>SUM(L14:L230)</f>
        <v>747381761.8900001</v>
      </c>
      <c r="M231" s="144">
        <f>SUM(M6:M230)</f>
        <v>2223079987.8199997</v>
      </c>
      <c r="N231" s="144">
        <f>SUM(N6:N230)</f>
        <v>321408392.42999983</v>
      </c>
      <c r="O231" s="144">
        <f>SUM(O6:O230)</f>
        <v>310896069.69999999</v>
      </c>
      <c r="P231" s="144">
        <f>SUM(P6:P230)</f>
        <v>184840671.83999962</v>
      </c>
      <c r="Q231" s="144">
        <f>SUM(Q6:Q230)</f>
        <v>3040225121.7899995</v>
      </c>
      <c r="R231" s="145"/>
      <c r="S231" s="146"/>
      <c r="T231" s="145"/>
      <c r="U231" s="147"/>
      <c r="V231" s="148"/>
      <c r="W231" s="148"/>
    </row>
    <row r="232" spans="1:24" ht="18" customHeight="1" thickTop="1" x14ac:dyDescent="0.35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50"/>
      <c r="U232" s="150"/>
    </row>
    <row r="233" spans="1:24" ht="18" customHeight="1" x14ac:dyDescent="0.35">
      <c r="A233" s="149"/>
      <c r="B233" s="149"/>
      <c r="C233" s="149"/>
      <c r="D233" s="149"/>
      <c r="E233" s="149"/>
      <c r="F233" s="149"/>
      <c r="G233" s="156">
        <v>2866442012.5700002</v>
      </c>
      <c r="H233" s="149"/>
      <c r="I233" s="149"/>
      <c r="J233" s="149"/>
      <c r="K233" s="149"/>
      <c r="L233" s="149"/>
      <c r="M233" s="149"/>
      <c r="N233" s="149"/>
      <c r="O233" s="149"/>
      <c r="P233" s="149"/>
      <c r="Q233" s="150">
        <v>3040225121.789999</v>
      </c>
      <c r="R233" s="149"/>
      <c r="S233" s="149"/>
      <c r="T233" s="150"/>
      <c r="U233" s="150"/>
    </row>
    <row r="234" spans="1:24" ht="18" customHeight="1" x14ac:dyDescent="0.35">
      <c r="A234" s="149"/>
      <c r="B234" s="152"/>
      <c r="C234" s="150"/>
      <c r="D234" s="150"/>
      <c r="E234" s="150"/>
      <c r="F234" s="150"/>
      <c r="G234" s="155">
        <f>SUM(G231-G233)</f>
        <v>1.430511474609375E-6</v>
      </c>
      <c r="H234" s="149"/>
      <c r="I234" s="151"/>
      <c r="J234" s="149"/>
      <c r="K234" s="149"/>
      <c r="L234" s="152"/>
      <c r="M234" s="150"/>
      <c r="N234" s="150"/>
      <c r="O234" s="150"/>
      <c r="P234" s="150"/>
      <c r="Q234" s="155">
        <f>SUM(Q233-Q231)</f>
        <v>-4.76837158203125E-7</v>
      </c>
      <c r="R234" s="149"/>
      <c r="S234" s="151"/>
      <c r="T234" s="150"/>
      <c r="U234" s="150"/>
    </row>
    <row r="235" spans="1:24" ht="18" customHeight="1" x14ac:dyDescent="0.35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</row>
    <row r="236" spans="1:24" ht="18" customHeight="1" x14ac:dyDescent="0.35">
      <c r="A236" s="149"/>
      <c r="B236" s="152"/>
      <c r="C236" s="150"/>
      <c r="D236" s="150"/>
      <c r="E236" s="150"/>
      <c r="F236" s="150"/>
      <c r="G236" s="153"/>
      <c r="H236" s="149"/>
      <c r="I236" s="151"/>
      <c r="J236" s="149"/>
      <c r="K236" s="149"/>
      <c r="L236" s="152"/>
      <c r="M236" s="150"/>
      <c r="N236" s="150"/>
      <c r="O236" s="150"/>
      <c r="P236" s="150"/>
      <c r="Q236" s="153"/>
      <c r="R236" s="149"/>
      <c r="S236" s="151"/>
      <c r="T236" s="150"/>
      <c r="U236" s="150"/>
    </row>
    <row r="237" spans="1:24" ht="18" customHeight="1" x14ac:dyDescent="0.35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</row>
    <row r="238" spans="1:24" ht="18" customHeight="1" x14ac:dyDescent="0.35">
      <c r="A238" s="149"/>
      <c r="B238" s="152"/>
      <c r="C238" s="150"/>
      <c r="D238" s="150"/>
      <c r="E238" s="150"/>
      <c r="F238" s="150"/>
      <c r="G238" s="153"/>
      <c r="H238" s="149"/>
      <c r="I238" s="151"/>
      <c r="J238" s="149"/>
      <c r="K238" s="149"/>
      <c r="L238" s="152"/>
      <c r="M238" s="150"/>
      <c r="N238" s="150"/>
      <c r="O238" s="150"/>
      <c r="P238" s="150"/>
      <c r="Q238" s="153"/>
      <c r="R238" s="149"/>
      <c r="S238" s="151"/>
      <c r="T238" s="150"/>
      <c r="U238" s="150"/>
    </row>
    <row r="239" spans="1:24" ht="18" customHeight="1" x14ac:dyDescent="0.35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</row>
    <row r="240" spans="1:24" s="102" customFormat="1" ht="21" customHeight="1" x14ac:dyDescent="0.3">
      <c r="A240" s="149"/>
      <c r="B240" s="152"/>
      <c r="C240" s="150"/>
      <c r="D240" s="150"/>
      <c r="E240" s="150"/>
      <c r="F240" s="150"/>
      <c r="G240" s="153"/>
      <c r="H240" s="149"/>
      <c r="I240" s="151"/>
      <c r="J240" s="149"/>
      <c r="K240" s="149"/>
      <c r="L240" s="152"/>
      <c r="M240" s="150"/>
      <c r="N240" s="150"/>
      <c r="O240" s="150"/>
      <c r="P240" s="150"/>
      <c r="Q240" s="153"/>
      <c r="R240" s="149"/>
      <c r="S240" s="151"/>
      <c r="T240" s="150"/>
      <c r="U240" s="103"/>
    </row>
    <row r="241" spans="1:21" ht="21" customHeight="1" x14ac:dyDescent="0.35">
      <c r="A241" s="149"/>
      <c r="B241" s="152"/>
      <c r="C241" s="150"/>
      <c r="D241" s="150"/>
      <c r="E241" s="150"/>
      <c r="F241" s="150"/>
      <c r="G241" s="153"/>
      <c r="H241" s="149"/>
      <c r="I241" s="151"/>
      <c r="J241" s="149"/>
      <c r="K241" s="149"/>
      <c r="L241" s="152"/>
      <c r="M241" s="150"/>
      <c r="N241" s="150"/>
      <c r="O241" s="150"/>
      <c r="P241" s="150"/>
      <c r="Q241" s="153"/>
      <c r="R241" s="149"/>
      <c r="S241" s="151"/>
      <c r="T241" s="150"/>
    </row>
    <row r="242" spans="1:21" s="102" customFormat="1" ht="21" customHeight="1" x14ac:dyDescent="0.3">
      <c r="A242" s="149"/>
      <c r="B242" s="152"/>
      <c r="C242" s="150"/>
      <c r="D242" s="150"/>
      <c r="E242" s="150"/>
      <c r="F242" s="150"/>
      <c r="G242" s="153"/>
      <c r="H242" s="149"/>
      <c r="I242" s="151"/>
      <c r="J242" s="149"/>
      <c r="K242" s="149"/>
      <c r="L242" s="152"/>
      <c r="M242" s="150"/>
      <c r="N242" s="150"/>
      <c r="O242" s="150"/>
      <c r="P242" s="150"/>
      <c r="Q242" s="153"/>
      <c r="R242" s="149"/>
      <c r="S242" s="151"/>
      <c r="T242" s="150"/>
      <c r="U242" s="103"/>
    </row>
    <row r="243" spans="1:21" s="102" customFormat="1" ht="21" customHeight="1" x14ac:dyDescent="0.3">
      <c r="A243" s="149"/>
      <c r="B243" s="152"/>
      <c r="C243" s="150"/>
      <c r="D243" s="150"/>
      <c r="E243" s="150"/>
      <c r="F243" s="150"/>
      <c r="G243" s="153"/>
      <c r="H243" s="149"/>
      <c r="I243" s="151"/>
      <c r="J243" s="149"/>
      <c r="K243" s="149"/>
      <c r="L243" s="152"/>
      <c r="M243" s="150"/>
      <c r="N243" s="150"/>
      <c r="O243" s="150"/>
      <c r="P243" s="150"/>
      <c r="Q243" s="153"/>
      <c r="R243" s="149"/>
      <c r="S243" s="151"/>
      <c r="T243" s="150"/>
      <c r="U243" s="103"/>
    </row>
    <row r="244" spans="1:21" s="102" customFormat="1" ht="21" customHeight="1" x14ac:dyDescent="0.3">
      <c r="A244" s="149"/>
      <c r="B244" s="152"/>
      <c r="C244" s="150"/>
      <c r="D244" s="150"/>
      <c r="E244" s="150"/>
      <c r="F244" s="150"/>
      <c r="G244" s="153"/>
      <c r="H244" s="149"/>
      <c r="I244" s="151"/>
      <c r="J244" s="149"/>
      <c r="K244" s="149"/>
      <c r="L244" s="152"/>
      <c r="M244" s="150"/>
      <c r="N244" s="150"/>
      <c r="O244" s="150"/>
      <c r="P244" s="150"/>
      <c r="Q244" s="153"/>
      <c r="R244" s="149"/>
      <c r="S244" s="151"/>
      <c r="T244" s="150"/>
      <c r="U244" s="103"/>
    </row>
    <row r="245" spans="1:21" ht="21" customHeight="1" x14ac:dyDescent="0.35"/>
    <row r="246" spans="1:21" ht="21" customHeight="1" x14ac:dyDescent="0.35">
      <c r="B246" s="105">
        <f>B114+B112+B46</f>
        <v>5749984.6299999999</v>
      </c>
      <c r="L246" s="105">
        <f>L114+L112+L46</f>
        <v>5749984.6299999999</v>
      </c>
    </row>
    <row r="247" spans="1:21" ht="21" customHeight="1" x14ac:dyDescent="0.35">
      <c r="B247" s="105" t="e">
        <f>B142+B161+B165+B167+#REF!</f>
        <v>#REF!</v>
      </c>
      <c r="L247" s="105" t="e">
        <f>L142+L161+L165+L167+#REF!</f>
        <v>#REF!</v>
      </c>
    </row>
    <row r="248" spans="1:21" ht="21" customHeight="1" x14ac:dyDescent="0.35">
      <c r="B248" s="105">
        <f>B175+B187</f>
        <v>0</v>
      </c>
      <c r="L248" s="105">
        <f>L175+L187</f>
        <v>0</v>
      </c>
    </row>
    <row r="249" spans="1:21" ht="21" customHeight="1" x14ac:dyDescent="0.35"/>
    <row r="250" spans="1:21" ht="21" customHeight="1" x14ac:dyDescent="0.35">
      <c r="B250" s="105" t="e">
        <f>B209+B213+B215+B68+#REF!</f>
        <v>#REF!</v>
      </c>
      <c r="L250" s="105" t="e">
        <f>L209+L213+L215+L68+#REF!</f>
        <v>#REF!</v>
      </c>
    </row>
    <row r="251" spans="1:21" ht="21" customHeight="1" thickBot="1" x14ac:dyDescent="0.4">
      <c r="B251" s="154" t="e">
        <f>SUM(B240:B250)</f>
        <v>#REF!</v>
      </c>
      <c r="L251" s="154" t="e">
        <f>SUM(L240:L250)</f>
        <v>#REF!</v>
      </c>
    </row>
    <row r="252" spans="1:21" ht="21" customHeight="1" thickTop="1" x14ac:dyDescent="0.35"/>
  </sheetData>
  <mergeCells count="3">
    <mergeCell ref="K3:T3"/>
    <mergeCell ref="U3:W3"/>
    <mergeCell ref="A3:J3"/>
  </mergeCells>
  <printOptions horizontalCentered="1"/>
  <pageMargins left="0.19685039370078741" right="0.19685039370078741" top="0.35433070866141736" bottom="0.19685039370078741" header="0.31496062992125984" footer="0.31496062992125984"/>
  <pageSetup paperSize="9" scale="60" orientation="landscape" r:id="rId1"/>
  <rowBreaks count="1" manualBreakCount="1">
    <brk id="234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C29"/>
  <sheetViews>
    <sheetView view="pageBreakPreview" topLeftCell="A22" zoomScale="90" zoomScaleNormal="100" zoomScaleSheetLayoutView="90" workbookViewId="0">
      <selection activeCell="A27" sqref="A27"/>
    </sheetView>
  </sheetViews>
  <sheetFormatPr defaultRowHeight="18.75" x14ac:dyDescent="0.3"/>
  <cols>
    <col min="1" max="1" width="57.7109375" style="414" customWidth="1"/>
    <col min="2" max="2" width="7" style="415" customWidth="1"/>
    <col min="3" max="3" width="145.5703125" style="414" customWidth="1"/>
  </cols>
  <sheetData>
    <row r="1" spans="1:3" ht="21" x14ac:dyDescent="0.35">
      <c r="A1" s="101" t="s">
        <v>676</v>
      </c>
      <c r="B1" s="402"/>
      <c r="C1" s="403"/>
    </row>
    <row r="2" spans="1:3" ht="21" x14ac:dyDescent="0.35">
      <c r="A2" s="84" t="s">
        <v>577</v>
      </c>
      <c r="B2" s="402"/>
      <c r="C2" s="403"/>
    </row>
    <row r="3" spans="1:3" ht="21" x14ac:dyDescent="0.35">
      <c r="A3" s="438" t="s">
        <v>578</v>
      </c>
      <c r="B3" s="439"/>
      <c r="C3" s="440"/>
    </row>
    <row r="4" spans="1:3" ht="93.75" x14ac:dyDescent="0.2">
      <c r="A4" s="319" t="s">
        <v>186</v>
      </c>
      <c r="B4" s="528" t="s">
        <v>579</v>
      </c>
      <c r="C4" s="412" t="s">
        <v>631</v>
      </c>
    </row>
    <row r="5" spans="1:3" ht="56.25" hidden="1" x14ac:dyDescent="0.2">
      <c r="A5" s="319" t="s">
        <v>187</v>
      </c>
      <c r="B5" s="420" t="s">
        <v>579</v>
      </c>
      <c r="C5" s="319" t="s">
        <v>580</v>
      </c>
    </row>
    <row r="6" spans="1:3" ht="75" x14ac:dyDescent="0.2">
      <c r="A6" s="319" t="s">
        <v>189</v>
      </c>
      <c r="B6" s="420" t="s">
        <v>579</v>
      </c>
      <c r="C6" s="319" t="s">
        <v>637</v>
      </c>
    </row>
    <row r="7" spans="1:3" ht="56.25" x14ac:dyDescent="0.2">
      <c r="A7" s="411" t="s">
        <v>193</v>
      </c>
      <c r="B7" s="420" t="s">
        <v>579</v>
      </c>
      <c r="C7" s="319" t="s">
        <v>632</v>
      </c>
    </row>
    <row r="8" spans="1:3" ht="62.25" customHeight="1" x14ac:dyDescent="0.2">
      <c r="A8" s="411" t="s">
        <v>194</v>
      </c>
      <c r="B8" s="420" t="s">
        <v>579</v>
      </c>
      <c r="C8" s="319" t="s">
        <v>633</v>
      </c>
    </row>
    <row r="9" spans="1:3" ht="79.5" customHeight="1" x14ac:dyDescent="0.2">
      <c r="A9" s="319" t="s">
        <v>196</v>
      </c>
      <c r="B9" s="420" t="s">
        <v>579</v>
      </c>
      <c r="C9" s="319" t="s">
        <v>581</v>
      </c>
    </row>
    <row r="10" spans="1:3" ht="56.25" x14ac:dyDescent="0.2">
      <c r="A10" s="429" t="s">
        <v>197</v>
      </c>
      <c r="B10" s="420" t="s">
        <v>579</v>
      </c>
      <c r="C10" s="319" t="s">
        <v>622</v>
      </c>
    </row>
    <row r="11" spans="1:3" ht="56.25" x14ac:dyDescent="0.2">
      <c r="A11" s="429" t="s">
        <v>442</v>
      </c>
      <c r="B11" s="420" t="s">
        <v>579</v>
      </c>
      <c r="C11" s="319" t="s">
        <v>623</v>
      </c>
    </row>
    <row r="12" spans="1:3" ht="75" x14ac:dyDescent="0.2">
      <c r="A12" s="319" t="s">
        <v>438</v>
      </c>
      <c r="B12" s="420" t="s">
        <v>579</v>
      </c>
      <c r="C12" s="319" t="s">
        <v>582</v>
      </c>
    </row>
    <row r="13" spans="1:3" ht="56.25" x14ac:dyDescent="0.2">
      <c r="A13" s="411" t="s">
        <v>200</v>
      </c>
      <c r="B13" s="420" t="s">
        <v>579</v>
      </c>
      <c r="C13" s="412" t="s">
        <v>583</v>
      </c>
    </row>
    <row r="14" spans="1:3" ht="75" x14ac:dyDescent="0.2">
      <c r="A14" s="411" t="s">
        <v>202</v>
      </c>
      <c r="B14" s="420" t="s">
        <v>579</v>
      </c>
      <c r="C14" s="319" t="s">
        <v>584</v>
      </c>
    </row>
    <row r="15" spans="1:3" ht="56.25" x14ac:dyDescent="0.2">
      <c r="A15" s="411" t="s">
        <v>203</v>
      </c>
      <c r="B15" s="420" t="s">
        <v>579</v>
      </c>
      <c r="C15" s="319" t="s">
        <v>634</v>
      </c>
    </row>
    <row r="16" spans="1:3" ht="56.25" x14ac:dyDescent="0.2">
      <c r="A16" s="411" t="s">
        <v>440</v>
      </c>
      <c r="B16" s="420" t="s">
        <v>579</v>
      </c>
      <c r="C16" s="319" t="s">
        <v>585</v>
      </c>
    </row>
    <row r="17" spans="1:3" s="430" customFormat="1" ht="37.5" x14ac:dyDescent="0.2">
      <c r="A17" s="411" t="s">
        <v>439</v>
      </c>
      <c r="B17" s="420" t="s">
        <v>579</v>
      </c>
      <c r="C17" s="319" t="s">
        <v>635</v>
      </c>
    </row>
    <row r="18" spans="1:3" s="430" customFormat="1" ht="75" x14ac:dyDescent="0.2">
      <c r="A18" s="411" t="s">
        <v>204</v>
      </c>
      <c r="B18" s="420" t="s">
        <v>579</v>
      </c>
      <c r="C18" s="319" t="s">
        <v>636</v>
      </c>
    </row>
    <row r="19" spans="1:3" ht="56.25" x14ac:dyDescent="0.2">
      <c r="A19" s="411" t="s">
        <v>205</v>
      </c>
      <c r="B19" s="420" t="s">
        <v>579</v>
      </c>
      <c r="C19" s="319" t="s">
        <v>586</v>
      </c>
    </row>
    <row r="20" spans="1:3" ht="37.5" x14ac:dyDescent="0.2">
      <c r="A20" s="411" t="s">
        <v>207</v>
      </c>
      <c r="B20" s="420" t="s">
        <v>579</v>
      </c>
      <c r="C20" s="319" t="s">
        <v>625</v>
      </c>
    </row>
    <row r="21" spans="1:3" ht="113.25" customHeight="1" x14ac:dyDescent="0.2">
      <c r="A21" s="411" t="s">
        <v>487</v>
      </c>
      <c r="B21" s="420" t="s">
        <v>579</v>
      </c>
      <c r="C21" s="319" t="s">
        <v>587</v>
      </c>
    </row>
    <row r="22" spans="1:3" ht="56.25" x14ac:dyDescent="0.2">
      <c r="A22" s="411" t="s">
        <v>209</v>
      </c>
      <c r="B22" s="420" t="s">
        <v>579</v>
      </c>
      <c r="C22" s="319" t="s">
        <v>588</v>
      </c>
    </row>
    <row r="23" spans="1:3" ht="56.25" x14ac:dyDescent="0.2">
      <c r="A23" s="411" t="s">
        <v>455</v>
      </c>
      <c r="B23" s="420" t="s">
        <v>579</v>
      </c>
      <c r="C23" s="319" t="s">
        <v>626</v>
      </c>
    </row>
    <row r="24" spans="1:3" x14ac:dyDescent="0.2">
      <c r="A24" s="411" t="s">
        <v>337</v>
      </c>
      <c r="B24" s="420" t="s">
        <v>579</v>
      </c>
      <c r="C24" s="319" t="s">
        <v>627</v>
      </c>
    </row>
    <row r="25" spans="1:3" s="430" customFormat="1" ht="82.5" customHeight="1" x14ac:dyDescent="0.2">
      <c r="A25" s="411" t="s">
        <v>638</v>
      </c>
      <c r="B25" s="420" t="s">
        <v>579</v>
      </c>
      <c r="C25" s="319" t="s">
        <v>639</v>
      </c>
    </row>
    <row r="26" spans="1:3" ht="37.5" x14ac:dyDescent="0.2">
      <c r="A26" s="411" t="s">
        <v>677</v>
      </c>
      <c r="B26" s="420" t="s">
        <v>579</v>
      </c>
      <c r="C26" s="319" t="s">
        <v>640</v>
      </c>
    </row>
    <row r="27" spans="1:3" x14ac:dyDescent="0.2">
      <c r="A27" s="411" t="s">
        <v>217</v>
      </c>
      <c r="B27" s="420" t="s">
        <v>579</v>
      </c>
      <c r="C27" s="319" t="s">
        <v>628</v>
      </c>
    </row>
    <row r="28" spans="1:3" ht="37.5" x14ac:dyDescent="0.2">
      <c r="A28" s="411" t="s">
        <v>219</v>
      </c>
      <c r="B28" s="420" t="s">
        <v>579</v>
      </c>
      <c r="C28" s="319" t="s">
        <v>629</v>
      </c>
    </row>
    <row r="29" spans="1:3" ht="37.5" x14ac:dyDescent="0.2">
      <c r="A29" s="411" t="s">
        <v>220</v>
      </c>
      <c r="B29" s="420" t="s">
        <v>579</v>
      </c>
      <c r="C29" s="319" t="s">
        <v>630</v>
      </c>
    </row>
  </sheetData>
  <printOptions horizontalCentered="1"/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4"/>
  <sheetViews>
    <sheetView view="pageBreakPreview" zoomScaleNormal="85" zoomScaleSheetLayoutView="100" workbookViewId="0">
      <selection activeCell="A2" sqref="A2"/>
    </sheetView>
  </sheetViews>
  <sheetFormatPr defaultRowHeight="18.75" x14ac:dyDescent="0.3"/>
  <cols>
    <col min="1" max="1" width="17.85546875" style="103" customWidth="1"/>
    <col min="2" max="2" width="15.5703125" style="103" hidden="1" customWidth="1"/>
    <col min="3" max="3" width="13.85546875" style="103" customWidth="1"/>
    <col min="4" max="4" width="13.28515625" style="103" customWidth="1"/>
    <col min="5" max="5" width="11" style="103" customWidth="1"/>
    <col min="6" max="6" width="13.42578125" style="103" customWidth="1"/>
    <col min="7" max="7" width="15.42578125" style="106" bestFit="1" customWidth="1"/>
    <col min="8" max="8" width="8.7109375" style="103" bestFit="1" customWidth="1"/>
    <col min="9" max="9" width="7.5703125" style="103" bestFit="1" customWidth="1"/>
    <col min="10" max="10" width="13.28515625" style="103" bestFit="1" customWidth="1"/>
    <col min="11" max="11" width="17.85546875" style="103" customWidth="1"/>
    <col min="12" max="12" width="17.85546875" style="103" hidden="1" customWidth="1"/>
    <col min="13" max="13" width="13.85546875" style="103" bestFit="1" customWidth="1"/>
    <col min="14" max="14" width="13.28515625" style="103" customWidth="1"/>
    <col min="15" max="15" width="12" style="103" bestFit="1" customWidth="1"/>
    <col min="16" max="16" width="14.42578125" style="103" bestFit="1" customWidth="1"/>
    <col min="17" max="17" width="15.42578125" style="106" bestFit="1" customWidth="1"/>
    <col min="18" max="18" width="7.85546875" style="103" bestFit="1" customWidth="1"/>
    <col min="19" max="19" width="7.5703125" style="103" bestFit="1" customWidth="1"/>
    <col min="20" max="20" width="13.28515625" style="103" bestFit="1" customWidth="1"/>
    <col min="21" max="21" width="8.5703125" style="103" customWidth="1"/>
    <col min="22" max="22" width="7.5703125" style="103" customWidth="1"/>
    <col min="23" max="23" width="8.140625" style="102" customWidth="1"/>
    <col min="24" max="24" width="9.140625" style="160"/>
    <col min="25" max="256" width="9.140625" style="103"/>
    <col min="257" max="257" width="24.140625" style="103" customWidth="1"/>
    <col min="258" max="258" width="0" style="103" hidden="1" customWidth="1"/>
    <col min="259" max="259" width="13.85546875" style="103" bestFit="1" customWidth="1"/>
    <col min="260" max="260" width="13.85546875" style="103" customWidth="1"/>
    <col min="261" max="261" width="11.85546875" style="103" bestFit="1" customWidth="1"/>
    <col min="262" max="262" width="12.140625" style="103" bestFit="1" customWidth="1"/>
    <col min="263" max="263" width="13.140625" style="103" bestFit="1" customWidth="1"/>
    <col min="264" max="264" width="7.85546875" style="103" bestFit="1" customWidth="1"/>
    <col min="265" max="265" width="7.5703125" style="103" bestFit="1" customWidth="1"/>
    <col min="266" max="266" width="13.5703125" style="103" bestFit="1" customWidth="1"/>
    <col min="267" max="267" width="17.85546875" style="103" customWidth="1"/>
    <col min="268" max="268" width="0" style="103" hidden="1" customWidth="1"/>
    <col min="269" max="269" width="13.85546875" style="103" bestFit="1" customWidth="1"/>
    <col min="270" max="270" width="13.28515625" style="103" customWidth="1"/>
    <col min="271" max="271" width="11" style="103" bestFit="1" customWidth="1"/>
    <col min="272" max="272" width="13.42578125" style="103" bestFit="1" customWidth="1"/>
    <col min="273" max="273" width="13.140625" style="103" bestFit="1" customWidth="1"/>
    <col min="274" max="274" width="12.140625" style="103" customWidth="1"/>
    <col min="275" max="275" width="7.5703125" style="103" bestFit="1" customWidth="1"/>
    <col min="276" max="276" width="10.28515625" style="103" customWidth="1"/>
    <col min="277" max="277" width="7.28515625" style="103" customWidth="1"/>
    <col min="278" max="278" width="7.5703125" style="103" customWidth="1"/>
    <col min="279" max="279" width="9.28515625" style="103" customWidth="1"/>
    <col min="280" max="512" width="9.140625" style="103"/>
    <col min="513" max="513" width="24.140625" style="103" customWidth="1"/>
    <col min="514" max="514" width="0" style="103" hidden="1" customWidth="1"/>
    <col min="515" max="515" width="13.85546875" style="103" bestFit="1" customWidth="1"/>
    <col min="516" max="516" width="13.85546875" style="103" customWidth="1"/>
    <col min="517" max="517" width="11.85546875" style="103" bestFit="1" customWidth="1"/>
    <col min="518" max="518" width="12.140625" style="103" bestFit="1" customWidth="1"/>
    <col min="519" max="519" width="13.140625" style="103" bestFit="1" customWidth="1"/>
    <col min="520" max="520" width="7.85546875" style="103" bestFit="1" customWidth="1"/>
    <col min="521" max="521" width="7.5703125" style="103" bestFit="1" customWidth="1"/>
    <col min="522" max="522" width="13.5703125" style="103" bestFit="1" customWidth="1"/>
    <col min="523" max="523" width="17.85546875" style="103" customWidth="1"/>
    <col min="524" max="524" width="0" style="103" hidden="1" customWidth="1"/>
    <col min="525" max="525" width="13.85546875" style="103" bestFit="1" customWidth="1"/>
    <col min="526" max="526" width="13.28515625" style="103" customWidth="1"/>
    <col min="527" max="527" width="11" style="103" bestFit="1" customWidth="1"/>
    <col min="528" max="528" width="13.42578125" style="103" bestFit="1" customWidth="1"/>
    <col min="529" max="529" width="13.140625" style="103" bestFit="1" customWidth="1"/>
    <col min="530" max="530" width="12.140625" style="103" customWidth="1"/>
    <col min="531" max="531" width="7.5703125" style="103" bestFit="1" customWidth="1"/>
    <col min="532" max="532" width="10.28515625" style="103" customWidth="1"/>
    <col min="533" max="533" width="7.28515625" style="103" customWidth="1"/>
    <col min="534" max="534" width="7.5703125" style="103" customWidth="1"/>
    <col min="535" max="535" width="9.28515625" style="103" customWidth="1"/>
    <col min="536" max="768" width="9.140625" style="103"/>
    <col min="769" max="769" width="24.140625" style="103" customWidth="1"/>
    <col min="770" max="770" width="0" style="103" hidden="1" customWidth="1"/>
    <col min="771" max="771" width="13.85546875" style="103" bestFit="1" customWidth="1"/>
    <col min="772" max="772" width="13.85546875" style="103" customWidth="1"/>
    <col min="773" max="773" width="11.85546875" style="103" bestFit="1" customWidth="1"/>
    <col min="774" max="774" width="12.140625" style="103" bestFit="1" customWidth="1"/>
    <col min="775" max="775" width="13.140625" style="103" bestFit="1" customWidth="1"/>
    <col min="776" max="776" width="7.85546875" style="103" bestFit="1" customWidth="1"/>
    <col min="777" max="777" width="7.5703125" style="103" bestFit="1" customWidth="1"/>
    <col min="778" max="778" width="13.5703125" style="103" bestFit="1" customWidth="1"/>
    <col min="779" max="779" width="17.85546875" style="103" customWidth="1"/>
    <col min="780" max="780" width="0" style="103" hidden="1" customWidth="1"/>
    <col min="781" max="781" width="13.85546875" style="103" bestFit="1" customWidth="1"/>
    <col min="782" max="782" width="13.28515625" style="103" customWidth="1"/>
    <col min="783" max="783" width="11" style="103" bestFit="1" customWidth="1"/>
    <col min="784" max="784" width="13.42578125" style="103" bestFit="1" customWidth="1"/>
    <col min="785" max="785" width="13.140625" style="103" bestFit="1" customWidth="1"/>
    <col min="786" max="786" width="12.140625" style="103" customWidth="1"/>
    <col min="787" max="787" width="7.5703125" style="103" bestFit="1" customWidth="1"/>
    <col min="788" max="788" width="10.28515625" style="103" customWidth="1"/>
    <col min="789" max="789" width="7.28515625" style="103" customWidth="1"/>
    <col min="790" max="790" width="7.5703125" style="103" customWidth="1"/>
    <col min="791" max="791" width="9.28515625" style="103" customWidth="1"/>
    <col min="792" max="1024" width="9.140625" style="103"/>
    <col min="1025" max="1025" width="24.140625" style="103" customWidth="1"/>
    <col min="1026" max="1026" width="0" style="103" hidden="1" customWidth="1"/>
    <col min="1027" max="1027" width="13.85546875" style="103" bestFit="1" customWidth="1"/>
    <col min="1028" max="1028" width="13.85546875" style="103" customWidth="1"/>
    <col min="1029" max="1029" width="11.85546875" style="103" bestFit="1" customWidth="1"/>
    <col min="1030" max="1030" width="12.140625" style="103" bestFit="1" customWidth="1"/>
    <col min="1031" max="1031" width="13.140625" style="103" bestFit="1" customWidth="1"/>
    <col min="1032" max="1032" width="7.85546875" style="103" bestFit="1" customWidth="1"/>
    <col min="1033" max="1033" width="7.5703125" style="103" bestFit="1" customWidth="1"/>
    <col min="1034" max="1034" width="13.5703125" style="103" bestFit="1" customWidth="1"/>
    <col min="1035" max="1035" width="17.85546875" style="103" customWidth="1"/>
    <col min="1036" max="1036" width="0" style="103" hidden="1" customWidth="1"/>
    <col min="1037" max="1037" width="13.85546875" style="103" bestFit="1" customWidth="1"/>
    <col min="1038" max="1038" width="13.28515625" style="103" customWidth="1"/>
    <col min="1039" max="1039" width="11" style="103" bestFit="1" customWidth="1"/>
    <col min="1040" max="1040" width="13.42578125" style="103" bestFit="1" customWidth="1"/>
    <col min="1041" max="1041" width="13.140625" style="103" bestFit="1" customWidth="1"/>
    <col min="1042" max="1042" width="12.140625" style="103" customWidth="1"/>
    <col min="1043" max="1043" width="7.5703125" style="103" bestFit="1" customWidth="1"/>
    <col min="1044" max="1044" width="10.28515625" style="103" customWidth="1"/>
    <col min="1045" max="1045" width="7.28515625" style="103" customWidth="1"/>
    <col min="1046" max="1046" width="7.5703125" style="103" customWidth="1"/>
    <col min="1047" max="1047" width="9.28515625" style="103" customWidth="1"/>
    <col min="1048" max="1280" width="9.140625" style="103"/>
    <col min="1281" max="1281" width="24.140625" style="103" customWidth="1"/>
    <col min="1282" max="1282" width="0" style="103" hidden="1" customWidth="1"/>
    <col min="1283" max="1283" width="13.85546875" style="103" bestFit="1" customWidth="1"/>
    <col min="1284" max="1284" width="13.85546875" style="103" customWidth="1"/>
    <col min="1285" max="1285" width="11.85546875" style="103" bestFit="1" customWidth="1"/>
    <col min="1286" max="1286" width="12.140625" style="103" bestFit="1" customWidth="1"/>
    <col min="1287" max="1287" width="13.140625" style="103" bestFit="1" customWidth="1"/>
    <col min="1288" max="1288" width="7.85546875" style="103" bestFit="1" customWidth="1"/>
    <col min="1289" max="1289" width="7.5703125" style="103" bestFit="1" customWidth="1"/>
    <col min="1290" max="1290" width="13.5703125" style="103" bestFit="1" customWidth="1"/>
    <col min="1291" max="1291" width="17.85546875" style="103" customWidth="1"/>
    <col min="1292" max="1292" width="0" style="103" hidden="1" customWidth="1"/>
    <col min="1293" max="1293" width="13.85546875" style="103" bestFit="1" customWidth="1"/>
    <col min="1294" max="1294" width="13.28515625" style="103" customWidth="1"/>
    <col min="1295" max="1295" width="11" style="103" bestFit="1" customWidth="1"/>
    <col min="1296" max="1296" width="13.42578125" style="103" bestFit="1" customWidth="1"/>
    <col min="1297" max="1297" width="13.140625" style="103" bestFit="1" customWidth="1"/>
    <col min="1298" max="1298" width="12.140625" style="103" customWidth="1"/>
    <col min="1299" max="1299" width="7.5703125" style="103" bestFit="1" customWidth="1"/>
    <col min="1300" max="1300" width="10.28515625" style="103" customWidth="1"/>
    <col min="1301" max="1301" width="7.28515625" style="103" customWidth="1"/>
    <col min="1302" max="1302" width="7.5703125" style="103" customWidth="1"/>
    <col min="1303" max="1303" width="9.28515625" style="103" customWidth="1"/>
    <col min="1304" max="1536" width="9.140625" style="103"/>
    <col min="1537" max="1537" width="24.140625" style="103" customWidth="1"/>
    <col min="1538" max="1538" width="0" style="103" hidden="1" customWidth="1"/>
    <col min="1539" max="1539" width="13.85546875" style="103" bestFit="1" customWidth="1"/>
    <col min="1540" max="1540" width="13.85546875" style="103" customWidth="1"/>
    <col min="1541" max="1541" width="11.85546875" style="103" bestFit="1" customWidth="1"/>
    <col min="1542" max="1542" width="12.140625" style="103" bestFit="1" customWidth="1"/>
    <col min="1543" max="1543" width="13.140625" style="103" bestFit="1" customWidth="1"/>
    <col min="1544" max="1544" width="7.85546875" style="103" bestFit="1" customWidth="1"/>
    <col min="1545" max="1545" width="7.5703125" style="103" bestFit="1" customWidth="1"/>
    <col min="1546" max="1546" width="13.5703125" style="103" bestFit="1" customWidth="1"/>
    <col min="1547" max="1547" width="17.85546875" style="103" customWidth="1"/>
    <col min="1548" max="1548" width="0" style="103" hidden="1" customWidth="1"/>
    <col min="1549" max="1549" width="13.85546875" style="103" bestFit="1" customWidth="1"/>
    <col min="1550" max="1550" width="13.28515625" style="103" customWidth="1"/>
    <col min="1551" max="1551" width="11" style="103" bestFit="1" customWidth="1"/>
    <col min="1552" max="1552" width="13.42578125" style="103" bestFit="1" customWidth="1"/>
    <col min="1553" max="1553" width="13.140625" style="103" bestFit="1" customWidth="1"/>
    <col min="1554" max="1554" width="12.140625" style="103" customWidth="1"/>
    <col min="1555" max="1555" width="7.5703125" style="103" bestFit="1" customWidth="1"/>
    <col min="1556" max="1556" width="10.28515625" style="103" customWidth="1"/>
    <col min="1557" max="1557" width="7.28515625" style="103" customWidth="1"/>
    <col min="1558" max="1558" width="7.5703125" style="103" customWidth="1"/>
    <col min="1559" max="1559" width="9.28515625" style="103" customWidth="1"/>
    <col min="1560" max="1792" width="9.140625" style="103"/>
    <col min="1793" max="1793" width="24.140625" style="103" customWidth="1"/>
    <col min="1794" max="1794" width="0" style="103" hidden="1" customWidth="1"/>
    <col min="1795" max="1795" width="13.85546875" style="103" bestFit="1" customWidth="1"/>
    <col min="1796" max="1796" width="13.85546875" style="103" customWidth="1"/>
    <col min="1797" max="1797" width="11.85546875" style="103" bestFit="1" customWidth="1"/>
    <col min="1798" max="1798" width="12.140625" style="103" bestFit="1" customWidth="1"/>
    <col min="1799" max="1799" width="13.140625" style="103" bestFit="1" customWidth="1"/>
    <col min="1800" max="1800" width="7.85546875" style="103" bestFit="1" customWidth="1"/>
    <col min="1801" max="1801" width="7.5703125" style="103" bestFit="1" customWidth="1"/>
    <col min="1802" max="1802" width="13.5703125" style="103" bestFit="1" customWidth="1"/>
    <col min="1803" max="1803" width="17.85546875" style="103" customWidth="1"/>
    <col min="1804" max="1804" width="0" style="103" hidden="1" customWidth="1"/>
    <col min="1805" max="1805" width="13.85546875" style="103" bestFit="1" customWidth="1"/>
    <col min="1806" max="1806" width="13.28515625" style="103" customWidth="1"/>
    <col min="1807" max="1807" width="11" style="103" bestFit="1" customWidth="1"/>
    <col min="1808" max="1808" width="13.42578125" style="103" bestFit="1" customWidth="1"/>
    <col min="1809" max="1809" width="13.140625" style="103" bestFit="1" customWidth="1"/>
    <col min="1810" max="1810" width="12.140625" style="103" customWidth="1"/>
    <col min="1811" max="1811" width="7.5703125" style="103" bestFit="1" customWidth="1"/>
    <col min="1812" max="1812" width="10.28515625" style="103" customWidth="1"/>
    <col min="1813" max="1813" width="7.28515625" style="103" customWidth="1"/>
    <col min="1814" max="1814" width="7.5703125" style="103" customWidth="1"/>
    <col min="1815" max="1815" width="9.28515625" style="103" customWidth="1"/>
    <col min="1816" max="2048" width="9.140625" style="103"/>
    <col min="2049" max="2049" width="24.140625" style="103" customWidth="1"/>
    <col min="2050" max="2050" width="0" style="103" hidden="1" customWidth="1"/>
    <col min="2051" max="2051" width="13.85546875" style="103" bestFit="1" customWidth="1"/>
    <col min="2052" max="2052" width="13.85546875" style="103" customWidth="1"/>
    <col min="2053" max="2053" width="11.85546875" style="103" bestFit="1" customWidth="1"/>
    <col min="2054" max="2054" width="12.140625" style="103" bestFit="1" customWidth="1"/>
    <col min="2055" max="2055" width="13.140625" style="103" bestFit="1" customWidth="1"/>
    <col min="2056" max="2056" width="7.85546875" style="103" bestFit="1" customWidth="1"/>
    <col min="2057" max="2057" width="7.5703125" style="103" bestFit="1" customWidth="1"/>
    <col min="2058" max="2058" width="13.5703125" style="103" bestFit="1" customWidth="1"/>
    <col min="2059" max="2059" width="17.85546875" style="103" customWidth="1"/>
    <col min="2060" max="2060" width="0" style="103" hidden="1" customWidth="1"/>
    <col min="2061" max="2061" width="13.85546875" style="103" bestFit="1" customWidth="1"/>
    <col min="2062" max="2062" width="13.28515625" style="103" customWidth="1"/>
    <col min="2063" max="2063" width="11" style="103" bestFit="1" customWidth="1"/>
    <col min="2064" max="2064" width="13.42578125" style="103" bestFit="1" customWidth="1"/>
    <col min="2065" max="2065" width="13.140625" style="103" bestFit="1" customWidth="1"/>
    <col min="2066" max="2066" width="12.140625" style="103" customWidth="1"/>
    <col min="2067" max="2067" width="7.5703125" style="103" bestFit="1" customWidth="1"/>
    <col min="2068" max="2068" width="10.28515625" style="103" customWidth="1"/>
    <col min="2069" max="2069" width="7.28515625" style="103" customWidth="1"/>
    <col min="2070" max="2070" width="7.5703125" style="103" customWidth="1"/>
    <col min="2071" max="2071" width="9.28515625" style="103" customWidth="1"/>
    <col min="2072" max="2304" width="9.140625" style="103"/>
    <col min="2305" max="2305" width="24.140625" style="103" customWidth="1"/>
    <col min="2306" max="2306" width="0" style="103" hidden="1" customWidth="1"/>
    <col min="2307" max="2307" width="13.85546875" style="103" bestFit="1" customWidth="1"/>
    <col min="2308" max="2308" width="13.85546875" style="103" customWidth="1"/>
    <col min="2309" max="2309" width="11.85546875" style="103" bestFit="1" customWidth="1"/>
    <col min="2310" max="2310" width="12.140625" style="103" bestFit="1" customWidth="1"/>
    <col min="2311" max="2311" width="13.140625" style="103" bestFit="1" customWidth="1"/>
    <col min="2312" max="2312" width="7.85546875" style="103" bestFit="1" customWidth="1"/>
    <col min="2313" max="2313" width="7.5703125" style="103" bestFit="1" customWidth="1"/>
    <col min="2314" max="2314" width="13.5703125" style="103" bestFit="1" customWidth="1"/>
    <col min="2315" max="2315" width="17.85546875" style="103" customWidth="1"/>
    <col min="2316" max="2316" width="0" style="103" hidden="1" customWidth="1"/>
    <col min="2317" max="2317" width="13.85546875" style="103" bestFit="1" customWidth="1"/>
    <col min="2318" max="2318" width="13.28515625" style="103" customWidth="1"/>
    <col min="2319" max="2319" width="11" style="103" bestFit="1" customWidth="1"/>
    <col min="2320" max="2320" width="13.42578125" style="103" bestFit="1" customWidth="1"/>
    <col min="2321" max="2321" width="13.140625" style="103" bestFit="1" customWidth="1"/>
    <col min="2322" max="2322" width="12.140625" style="103" customWidth="1"/>
    <col min="2323" max="2323" width="7.5703125" style="103" bestFit="1" customWidth="1"/>
    <col min="2324" max="2324" width="10.28515625" style="103" customWidth="1"/>
    <col min="2325" max="2325" width="7.28515625" style="103" customWidth="1"/>
    <col min="2326" max="2326" width="7.5703125" style="103" customWidth="1"/>
    <col min="2327" max="2327" width="9.28515625" style="103" customWidth="1"/>
    <col min="2328" max="2560" width="9.140625" style="103"/>
    <col min="2561" max="2561" width="24.140625" style="103" customWidth="1"/>
    <col min="2562" max="2562" width="0" style="103" hidden="1" customWidth="1"/>
    <col min="2563" max="2563" width="13.85546875" style="103" bestFit="1" customWidth="1"/>
    <col min="2564" max="2564" width="13.85546875" style="103" customWidth="1"/>
    <col min="2565" max="2565" width="11.85546875" style="103" bestFit="1" customWidth="1"/>
    <col min="2566" max="2566" width="12.140625" style="103" bestFit="1" customWidth="1"/>
    <col min="2567" max="2567" width="13.140625" style="103" bestFit="1" customWidth="1"/>
    <col min="2568" max="2568" width="7.85546875" style="103" bestFit="1" customWidth="1"/>
    <col min="2569" max="2569" width="7.5703125" style="103" bestFit="1" customWidth="1"/>
    <col min="2570" max="2570" width="13.5703125" style="103" bestFit="1" customWidth="1"/>
    <col min="2571" max="2571" width="17.85546875" style="103" customWidth="1"/>
    <col min="2572" max="2572" width="0" style="103" hidden="1" customWidth="1"/>
    <col min="2573" max="2573" width="13.85546875" style="103" bestFit="1" customWidth="1"/>
    <col min="2574" max="2574" width="13.28515625" style="103" customWidth="1"/>
    <col min="2575" max="2575" width="11" style="103" bestFit="1" customWidth="1"/>
    <col min="2576" max="2576" width="13.42578125" style="103" bestFit="1" customWidth="1"/>
    <col min="2577" max="2577" width="13.140625" style="103" bestFit="1" customWidth="1"/>
    <col min="2578" max="2578" width="12.140625" style="103" customWidth="1"/>
    <col min="2579" max="2579" width="7.5703125" style="103" bestFit="1" customWidth="1"/>
    <col min="2580" max="2580" width="10.28515625" style="103" customWidth="1"/>
    <col min="2581" max="2581" width="7.28515625" style="103" customWidth="1"/>
    <col min="2582" max="2582" width="7.5703125" style="103" customWidth="1"/>
    <col min="2583" max="2583" width="9.28515625" style="103" customWidth="1"/>
    <col min="2584" max="2816" width="9.140625" style="103"/>
    <col min="2817" max="2817" width="24.140625" style="103" customWidth="1"/>
    <col min="2818" max="2818" width="0" style="103" hidden="1" customWidth="1"/>
    <col min="2819" max="2819" width="13.85546875" style="103" bestFit="1" customWidth="1"/>
    <col min="2820" max="2820" width="13.85546875" style="103" customWidth="1"/>
    <col min="2821" max="2821" width="11.85546875" style="103" bestFit="1" customWidth="1"/>
    <col min="2822" max="2822" width="12.140625" style="103" bestFit="1" customWidth="1"/>
    <col min="2823" max="2823" width="13.140625" style="103" bestFit="1" customWidth="1"/>
    <col min="2824" max="2824" width="7.85546875" style="103" bestFit="1" customWidth="1"/>
    <col min="2825" max="2825" width="7.5703125" style="103" bestFit="1" customWidth="1"/>
    <col min="2826" max="2826" width="13.5703125" style="103" bestFit="1" customWidth="1"/>
    <col min="2827" max="2827" width="17.85546875" style="103" customWidth="1"/>
    <col min="2828" max="2828" width="0" style="103" hidden="1" customWidth="1"/>
    <col min="2829" max="2829" width="13.85546875" style="103" bestFit="1" customWidth="1"/>
    <col min="2830" max="2830" width="13.28515625" style="103" customWidth="1"/>
    <col min="2831" max="2831" width="11" style="103" bestFit="1" customWidth="1"/>
    <col min="2832" max="2832" width="13.42578125" style="103" bestFit="1" customWidth="1"/>
    <col min="2833" max="2833" width="13.140625" style="103" bestFit="1" customWidth="1"/>
    <col min="2834" max="2834" width="12.140625" style="103" customWidth="1"/>
    <col min="2835" max="2835" width="7.5703125" style="103" bestFit="1" customWidth="1"/>
    <col min="2836" max="2836" width="10.28515625" style="103" customWidth="1"/>
    <col min="2837" max="2837" width="7.28515625" style="103" customWidth="1"/>
    <col min="2838" max="2838" width="7.5703125" style="103" customWidth="1"/>
    <col min="2839" max="2839" width="9.28515625" style="103" customWidth="1"/>
    <col min="2840" max="3072" width="9.140625" style="103"/>
    <col min="3073" max="3073" width="24.140625" style="103" customWidth="1"/>
    <col min="3074" max="3074" width="0" style="103" hidden="1" customWidth="1"/>
    <col min="3075" max="3075" width="13.85546875" style="103" bestFit="1" customWidth="1"/>
    <col min="3076" max="3076" width="13.85546875" style="103" customWidth="1"/>
    <col min="3077" max="3077" width="11.85546875" style="103" bestFit="1" customWidth="1"/>
    <col min="3078" max="3078" width="12.140625" style="103" bestFit="1" customWidth="1"/>
    <col min="3079" max="3079" width="13.140625" style="103" bestFit="1" customWidth="1"/>
    <col min="3080" max="3080" width="7.85546875" style="103" bestFit="1" customWidth="1"/>
    <col min="3081" max="3081" width="7.5703125" style="103" bestFit="1" customWidth="1"/>
    <col min="3082" max="3082" width="13.5703125" style="103" bestFit="1" customWidth="1"/>
    <col min="3083" max="3083" width="17.85546875" style="103" customWidth="1"/>
    <col min="3084" max="3084" width="0" style="103" hidden="1" customWidth="1"/>
    <col min="3085" max="3085" width="13.85546875" style="103" bestFit="1" customWidth="1"/>
    <col min="3086" max="3086" width="13.28515625" style="103" customWidth="1"/>
    <col min="3087" max="3087" width="11" style="103" bestFit="1" customWidth="1"/>
    <col min="3088" max="3088" width="13.42578125" style="103" bestFit="1" customWidth="1"/>
    <col min="3089" max="3089" width="13.140625" style="103" bestFit="1" customWidth="1"/>
    <col min="3090" max="3090" width="12.140625" style="103" customWidth="1"/>
    <col min="3091" max="3091" width="7.5703125" style="103" bestFit="1" customWidth="1"/>
    <col min="3092" max="3092" width="10.28515625" style="103" customWidth="1"/>
    <col min="3093" max="3093" width="7.28515625" style="103" customWidth="1"/>
    <col min="3094" max="3094" width="7.5703125" style="103" customWidth="1"/>
    <col min="3095" max="3095" width="9.28515625" style="103" customWidth="1"/>
    <col min="3096" max="3328" width="9.140625" style="103"/>
    <col min="3329" max="3329" width="24.140625" style="103" customWidth="1"/>
    <col min="3330" max="3330" width="0" style="103" hidden="1" customWidth="1"/>
    <col min="3331" max="3331" width="13.85546875" style="103" bestFit="1" customWidth="1"/>
    <col min="3332" max="3332" width="13.85546875" style="103" customWidth="1"/>
    <col min="3333" max="3333" width="11.85546875" style="103" bestFit="1" customWidth="1"/>
    <col min="3334" max="3334" width="12.140625" style="103" bestFit="1" customWidth="1"/>
    <col min="3335" max="3335" width="13.140625" style="103" bestFit="1" customWidth="1"/>
    <col min="3336" max="3336" width="7.85546875" style="103" bestFit="1" customWidth="1"/>
    <col min="3337" max="3337" width="7.5703125" style="103" bestFit="1" customWidth="1"/>
    <col min="3338" max="3338" width="13.5703125" style="103" bestFit="1" customWidth="1"/>
    <col min="3339" max="3339" width="17.85546875" style="103" customWidth="1"/>
    <col min="3340" max="3340" width="0" style="103" hidden="1" customWidth="1"/>
    <col min="3341" max="3341" width="13.85546875" style="103" bestFit="1" customWidth="1"/>
    <col min="3342" max="3342" width="13.28515625" style="103" customWidth="1"/>
    <col min="3343" max="3343" width="11" style="103" bestFit="1" customWidth="1"/>
    <col min="3344" max="3344" width="13.42578125" style="103" bestFit="1" customWidth="1"/>
    <col min="3345" max="3345" width="13.140625" style="103" bestFit="1" customWidth="1"/>
    <col min="3346" max="3346" width="12.140625" style="103" customWidth="1"/>
    <col min="3347" max="3347" width="7.5703125" style="103" bestFit="1" customWidth="1"/>
    <col min="3348" max="3348" width="10.28515625" style="103" customWidth="1"/>
    <col min="3349" max="3349" width="7.28515625" style="103" customWidth="1"/>
    <col min="3350" max="3350" width="7.5703125" style="103" customWidth="1"/>
    <col min="3351" max="3351" width="9.28515625" style="103" customWidth="1"/>
    <col min="3352" max="3584" width="9.140625" style="103"/>
    <col min="3585" max="3585" width="24.140625" style="103" customWidth="1"/>
    <col min="3586" max="3586" width="0" style="103" hidden="1" customWidth="1"/>
    <col min="3587" max="3587" width="13.85546875" style="103" bestFit="1" customWidth="1"/>
    <col min="3588" max="3588" width="13.85546875" style="103" customWidth="1"/>
    <col min="3589" max="3589" width="11.85546875" style="103" bestFit="1" customWidth="1"/>
    <col min="3590" max="3590" width="12.140625" style="103" bestFit="1" customWidth="1"/>
    <col min="3591" max="3591" width="13.140625" style="103" bestFit="1" customWidth="1"/>
    <col min="3592" max="3592" width="7.85546875" style="103" bestFit="1" customWidth="1"/>
    <col min="3593" max="3593" width="7.5703125" style="103" bestFit="1" customWidth="1"/>
    <col min="3594" max="3594" width="13.5703125" style="103" bestFit="1" customWidth="1"/>
    <col min="3595" max="3595" width="17.85546875" style="103" customWidth="1"/>
    <col min="3596" max="3596" width="0" style="103" hidden="1" customWidth="1"/>
    <col min="3597" max="3597" width="13.85546875" style="103" bestFit="1" customWidth="1"/>
    <col min="3598" max="3598" width="13.28515625" style="103" customWidth="1"/>
    <col min="3599" max="3599" width="11" style="103" bestFit="1" customWidth="1"/>
    <col min="3600" max="3600" width="13.42578125" style="103" bestFit="1" customWidth="1"/>
    <col min="3601" max="3601" width="13.140625" style="103" bestFit="1" customWidth="1"/>
    <col min="3602" max="3602" width="12.140625" style="103" customWidth="1"/>
    <col min="3603" max="3603" width="7.5703125" style="103" bestFit="1" customWidth="1"/>
    <col min="3604" max="3604" width="10.28515625" style="103" customWidth="1"/>
    <col min="3605" max="3605" width="7.28515625" style="103" customWidth="1"/>
    <col min="3606" max="3606" width="7.5703125" style="103" customWidth="1"/>
    <col min="3607" max="3607" width="9.28515625" style="103" customWidth="1"/>
    <col min="3608" max="3840" width="9.140625" style="103"/>
    <col min="3841" max="3841" width="24.140625" style="103" customWidth="1"/>
    <col min="3842" max="3842" width="0" style="103" hidden="1" customWidth="1"/>
    <col min="3843" max="3843" width="13.85546875" style="103" bestFit="1" customWidth="1"/>
    <col min="3844" max="3844" width="13.85546875" style="103" customWidth="1"/>
    <col min="3845" max="3845" width="11.85546875" style="103" bestFit="1" customWidth="1"/>
    <col min="3846" max="3846" width="12.140625" style="103" bestFit="1" customWidth="1"/>
    <col min="3847" max="3847" width="13.140625" style="103" bestFit="1" customWidth="1"/>
    <col min="3848" max="3848" width="7.85546875" style="103" bestFit="1" customWidth="1"/>
    <col min="3849" max="3849" width="7.5703125" style="103" bestFit="1" customWidth="1"/>
    <col min="3850" max="3850" width="13.5703125" style="103" bestFit="1" customWidth="1"/>
    <col min="3851" max="3851" width="17.85546875" style="103" customWidth="1"/>
    <col min="3852" max="3852" width="0" style="103" hidden="1" customWidth="1"/>
    <col min="3853" max="3853" width="13.85546875" style="103" bestFit="1" customWidth="1"/>
    <col min="3854" max="3854" width="13.28515625" style="103" customWidth="1"/>
    <col min="3855" max="3855" width="11" style="103" bestFit="1" customWidth="1"/>
    <col min="3856" max="3856" width="13.42578125" style="103" bestFit="1" customWidth="1"/>
    <col min="3857" max="3857" width="13.140625" style="103" bestFit="1" customWidth="1"/>
    <col min="3858" max="3858" width="12.140625" style="103" customWidth="1"/>
    <col min="3859" max="3859" width="7.5703125" style="103" bestFit="1" customWidth="1"/>
    <col min="3860" max="3860" width="10.28515625" style="103" customWidth="1"/>
    <col min="3861" max="3861" width="7.28515625" style="103" customWidth="1"/>
    <col min="3862" max="3862" width="7.5703125" style="103" customWidth="1"/>
    <col min="3863" max="3863" width="9.28515625" style="103" customWidth="1"/>
    <col min="3864" max="4096" width="9.140625" style="103"/>
    <col min="4097" max="4097" width="24.140625" style="103" customWidth="1"/>
    <col min="4098" max="4098" width="0" style="103" hidden="1" customWidth="1"/>
    <col min="4099" max="4099" width="13.85546875" style="103" bestFit="1" customWidth="1"/>
    <col min="4100" max="4100" width="13.85546875" style="103" customWidth="1"/>
    <col min="4101" max="4101" width="11.85546875" style="103" bestFit="1" customWidth="1"/>
    <col min="4102" max="4102" width="12.140625" style="103" bestFit="1" customWidth="1"/>
    <col min="4103" max="4103" width="13.140625" style="103" bestFit="1" customWidth="1"/>
    <col min="4104" max="4104" width="7.85546875" style="103" bestFit="1" customWidth="1"/>
    <col min="4105" max="4105" width="7.5703125" style="103" bestFit="1" customWidth="1"/>
    <col min="4106" max="4106" width="13.5703125" style="103" bestFit="1" customWidth="1"/>
    <col min="4107" max="4107" width="17.85546875" style="103" customWidth="1"/>
    <col min="4108" max="4108" width="0" style="103" hidden="1" customWidth="1"/>
    <col min="4109" max="4109" width="13.85546875" style="103" bestFit="1" customWidth="1"/>
    <col min="4110" max="4110" width="13.28515625" style="103" customWidth="1"/>
    <col min="4111" max="4111" width="11" style="103" bestFit="1" customWidth="1"/>
    <col min="4112" max="4112" width="13.42578125" style="103" bestFit="1" customWidth="1"/>
    <col min="4113" max="4113" width="13.140625" style="103" bestFit="1" customWidth="1"/>
    <col min="4114" max="4114" width="12.140625" style="103" customWidth="1"/>
    <col min="4115" max="4115" width="7.5703125" style="103" bestFit="1" customWidth="1"/>
    <col min="4116" max="4116" width="10.28515625" style="103" customWidth="1"/>
    <col min="4117" max="4117" width="7.28515625" style="103" customWidth="1"/>
    <col min="4118" max="4118" width="7.5703125" style="103" customWidth="1"/>
    <col min="4119" max="4119" width="9.28515625" style="103" customWidth="1"/>
    <col min="4120" max="4352" width="9.140625" style="103"/>
    <col min="4353" max="4353" width="24.140625" style="103" customWidth="1"/>
    <col min="4354" max="4354" width="0" style="103" hidden="1" customWidth="1"/>
    <col min="4355" max="4355" width="13.85546875" style="103" bestFit="1" customWidth="1"/>
    <col min="4356" max="4356" width="13.85546875" style="103" customWidth="1"/>
    <col min="4357" max="4357" width="11.85546875" style="103" bestFit="1" customWidth="1"/>
    <col min="4358" max="4358" width="12.140625" style="103" bestFit="1" customWidth="1"/>
    <col min="4359" max="4359" width="13.140625" style="103" bestFit="1" customWidth="1"/>
    <col min="4360" max="4360" width="7.85546875" style="103" bestFit="1" customWidth="1"/>
    <col min="4361" max="4361" width="7.5703125" style="103" bestFit="1" customWidth="1"/>
    <col min="4362" max="4362" width="13.5703125" style="103" bestFit="1" customWidth="1"/>
    <col min="4363" max="4363" width="17.85546875" style="103" customWidth="1"/>
    <col min="4364" max="4364" width="0" style="103" hidden="1" customWidth="1"/>
    <col min="4365" max="4365" width="13.85546875" style="103" bestFit="1" customWidth="1"/>
    <col min="4366" max="4366" width="13.28515625" style="103" customWidth="1"/>
    <col min="4367" max="4367" width="11" style="103" bestFit="1" customWidth="1"/>
    <col min="4368" max="4368" width="13.42578125" style="103" bestFit="1" customWidth="1"/>
    <col min="4369" max="4369" width="13.140625" style="103" bestFit="1" customWidth="1"/>
    <col min="4370" max="4370" width="12.140625" style="103" customWidth="1"/>
    <col min="4371" max="4371" width="7.5703125" style="103" bestFit="1" customWidth="1"/>
    <col min="4372" max="4372" width="10.28515625" style="103" customWidth="1"/>
    <col min="4373" max="4373" width="7.28515625" style="103" customWidth="1"/>
    <col min="4374" max="4374" width="7.5703125" style="103" customWidth="1"/>
    <col min="4375" max="4375" width="9.28515625" style="103" customWidth="1"/>
    <col min="4376" max="4608" width="9.140625" style="103"/>
    <col min="4609" max="4609" width="24.140625" style="103" customWidth="1"/>
    <col min="4610" max="4610" width="0" style="103" hidden="1" customWidth="1"/>
    <col min="4611" max="4611" width="13.85546875" style="103" bestFit="1" customWidth="1"/>
    <col min="4612" max="4612" width="13.85546875" style="103" customWidth="1"/>
    <col min="4613" max="4613" width="11.85546875" style="103" bestFit="1" customWidth="1"/>
    <col min="4614" max="4614" width="12.140625" style="103" bestFit="1" customWidth="1"/>
    <col min="4615" max="4615" width="13.140625" style="103" bestFit="1" customWidth="1"/>
    <col min="4616" max="4616" width="7.85546875" style="103" bestFit="1" customWidth="1"/>
    <col min="4617" max="4617" width="7.5703125" style="103" bestFit="1" customWidth="1"/>
    <col min="4618" max="4618" width="13.5703125" style="103" bestFit="1" customWidth="1"/>
    <col min="4619" max="4619" width="17.85546875" style="103" customWidth="1"/>
    <col min="4620" max="4620" width="0" style="103" hidden="1" customWidth="1"/>
    <col min="4621" max="4621" width="13.85546875" style="103" bestFit="1" customWidth="1"/>
    <col min="4622" max="4622" width="13.28515625" style="103" customWidth="1"/>
    <col min="4623" max="4623" width="11" style="103" bestFit="1" customWidth="1"/>
    <col min="4624" max="4624" width="13.42578125" style="103" bestFit="1" customWidth="1"/>
    <col min="4625" max="4625" width="13.140625" style="103" bestFit="1" customWidth="1"/>
    <col min="4626" max="4626" width="12.140625" style="103" customWidth="1"/>
    <col min="4627" max="4627" width="7.5703125" style="103" bestFit="1" customWidth="1"/>
    <col min="4628" max="4628" width="10.28515625" style="103" customWidth="1"/>
    <col min="4629" max="4629" width="7.28515625" style="103" customWidth="1"/>
    <col min="4630" max="4630" width="7.5703125" style="103" customWidth="1"/>
    <col min="4631" max="4631" width="9.28515625" style="103" customWidth="1"/>
    <col min="4632" max="4864" width="9.140625" style="103"/>
    <col min="4865" max="4865" width="24.140625" style="103" customWidth="1"/>
    <col min="4866" max="4866" width="0" style="103" hidden="1" customWidth="1"/>
    <col min="4867" max="4867" width="13.85546875" style="103" bestFit="1" customWidth="1"/>
    <col min="4868" max="4868" width="13.85546875" style="103" customWidth="1"/>
    <col min="4869" max="4869" width="11.85546875" style="103" bestFit="1" customWidth="1"/>
    <col min="4870" max="4870" width="12.140625" style="103" bestFit="1" customWidth="1"/>
    <col min="4871" max="4871" width="13.140625" style="103" bestFit="1" customWidth="1"/>
    <col min="4872" max="4872" width="7.85546875" style="103" bestFit="1" customWidth="1"/>
    <col min="4873" max="4873" width="7.5703125" style="103" bestFit="1" customWidth="1"/>
    <col min="4874" max="4874" width="13.5703125" style="103" bestFit="1" customWidth="1"/>
    <col min="4875" max="4875" width="17.85546875" style="103" customWidth="1"/>
    <col min="4876" max="4876" width="0" style="103" hidden="1" customWidth="1"/>
    <col min="4877" max="4877" width="13.85546875" style="103" bestFit="1" customWidth="1"/>
    <col min="4878" max="4878" width="13.28515625" style="103" customWidth="1"/>
    <col min="4879" max="4879" width="11" style="103" bestFit="1" customWidth="1"/>
    <col min="4880" max="4880" width="13.42578125" style="103" bestFit="1" customWidth="1"/>
    <col min="4881" max="4881" width="13.140625" style="103" bestFit="1" customWidth="1"/>
    <col min="4882" max="4882" width="12.140625" style="103" customWidth="1"/>
    <col min="4883" max="4883" width="7.5703125" style="103" bestFit="1" customWidth="1"/>
    <col min="4884" max="4884" width="10.28515625" style="103" customWidth="1"/>
    <col min="4885" max="4885" width="7.28515625" style="103" customWidth="1"/>
    <col min="4886" max="4886" width="7.5703125" style="103" customWidth="1"/>
    <col min="4887" max="4887" width="9.28515625" style="103" customWidth="1"/>
    <col min="4888" max="5120" width="9.140625" style="103"/>
    <col min="5121" max="5121" width="24.140625" style="103" customWidth="1"/>
    <col min="5122" max="5122" width="0" style="103" hidden="1" customWidth="1"/>
    <col min="5123" max="5123" width="13.85546875" style="103" bestFit="1" customWidth="1"/>
    <col min="5124" max="5124" width="13.85546875" style="103" customWidth="1"/>
    <col min="5125" max="5125" width="11.85546875" style="103" bestFit="1" customWidth="1"/>
    <col min="5126" max="5126" width="12.140625" style="103" bestFit="1" customWidth="1"/>
    <col min="5127" max="5127" width="13.140625" style="103" bestFit="1" customWidth="1"/>
    <col min="5128" max="5128" width="7.85546875" style="103" bestFit="1" customWidth="1"/>
    <col min="5129" max="5129" width="7.5703125" style="103" bestFit="1" customWidth="1"/>
    <col min="5130" max="5130" width="13.5703125" style="103" bestFit="1" customWidth="1"/>
    <col min="5131" max="5131" width="17.85546875" style="103" customWidth="1"/>
    <col min="5132" max="5132" width="0" style="103" hidden="1" customWidth="1"/>
    <col min="5133" max="5133" width="13.85546875" style="103" bestFit="1" customWidth="1"/>
    <col min="5134" max="5134" width="13.28515625" style="103" customWidth="1"/>
    <col min="5135" max="5135" width="11" style="103" bestFit="1" customWidth="1"/>
    <col min="5136" max="5136" width="13.42578125" style="103" bestFit="1" customWidth="1"/>
    <col min="5137" max="5137" width="13.140625" style="103" bestFit="1" customWidth="1"/>
    <col min="5138" max="5138" width="12.140625" style="103" customWidth="1"/>
    <col min="5139" max="5139" width="7.5703125" style="103" bestFit="1" customWidth="1"/>
    <col min="5140" max="5140" width="10.28515625" style="103" customWidth="1"/>
    <col min="5141" max="5141" width="7.28515625" style="103" customWidth="1"/>
    <col min="5142" max="5142" width="7.5703125" style="103" customWidth="1"/>
    <col min="5143" max="5143" width="9.28515625" style="103" customWidth="1"/>
    <col min="5144" max="5376" width="9.140625" style="103"/>
    <col min="5377" max="5377" width="24.140625" style="103" customWidth="1"/>
    <col min="5378" max="5378" width="0" style="103" hidden="1" customWidth="1"/>
    <col min="5379" max="5379" width="13.85546875" style="103" bestFit="1" customWidth="1"/>
    <col min="5380" max="5380" width="13.85546875" style="103" customWidth="1"/>
    <col min="5381" max="5381" width="11.85546875" style="103" bestFit="1" customWidth="1"/>
    <col min="5382" max="5382" width="12.140625" style="103" bestFit="1" customWidth="1"/>
    <col min="5383" max="5383" width="13.140625" style="103" bestFit="1" customWidth="1"/>
    <col min="5384" max="5384" width="7.85546875" style="103" bestFit="1" customWidth="1"/>
    <col min="5385" max="5385" width="7.5703125" style="103" bestFit="1" customWidth="1"/>
    <col min="5386" max="5386" width="13.5703125" style="103" bestFit="1" customWidth="1"/>
    <col min="5387" max="5387" width="17.85546875" style="103" customWidth="1"/>
    <col min="5388" max="5388" width="0" style="103" hidden="1" customWidth="1"/>
    <col min="5389" max="5389" width="13.85546875" style="103" bestFit="1" customWidth="1"/>
    <col min="5390" max="5390" width="13.28515625" style="103" customWidth="1"/>
    <col min="5391" max="5391" width="11" style="103" bestFit="1" customWidth="1"/>
    <col min="5392" max="5392" width="13.42578125" style="103" bestFit="1" customWidth="1"/>
    <col min="5393" max="5393" width="13.140625" style="103" bestFit="1" customWidth="1"/>
    <col min="5394" max="5394" width="12.140625" style="103" customWidth="1"/>
    <col min="5395" max="5395" width="7.5703125" style="103" bestFit="1" customWidth="1"/>
    <col min="5396" max="5396" width="10.28515625" style="103" customWidth="1"/>
    <col min="5397" max="5397" width="7.28515625" style="103" customWidth="1"/>
    <col min="5398" max="5398" width="7.5703125" style="103" customWidth="1"/>
    <col min="5399" max="5399" width="9.28515625" style="103" customWidth="1"/>
    <col min="5400" max="5632" width="9.140625" style="103"/>
    <col min="5633" max="5633" width="24.140625" style="103" customWidth="1"/>
    <col min="5634" max="5634" width="0" style="103" hidden="1" customWidth="1"/>
    <col min="5635" max="5635" width="13.85546875" style="103" bestFit="1" customWidth="1"/>
    <col min="5636" max="5636" width="13.85546875" style="103" customWidth="1"/>
    <col min="5637" max="5637" width="11.85546875" style="103" bestFit="1" customWidth="1"/>
    <col min="5638" max="5638" width="12.140625" style="103" bestFit="1" customWidth="1"/>
    <col min="5639" max="5639" width="13.140625" style="103" bestFit="1" customWidth="1"/>
    <col min="5640" max="5640" width="7.85546875" style="103" bestFit="1" customWidth="1"/>
    <col min="5641" max="5641" width="7.5703125" style="103" bestFit="1" customWidth="1"/>
    <col min="5642" max="5642" width="13.5703125" style="103" bestFit="1" customWidth="1"/>
    <col min="5643" max="5643" width="17.85546875" style="103" customWidth="1"/>
    <col min="5644" max="5644" width="0" style="103" hidden="1" customWidth="1"/>
    <col min="5645" max="5645" width="13.85546875" style="103" bestFit="1" customWidth="1"/>
    <col min="5646" max="5646" width="13.28515625" style="103" customWidth="1"/>
    <col min="5647" max="5647" width="11" style="103" bestFit="1" customWidth="1"/>
    <col min="5648" max="5648" width="13.42578125" style="103" bestFit="1" customWidth="1"/>
    <col min="5649" max="5649" width="13.140625" style="103" bestFit="1" customWidth="1"/>
    <col min="5650" max="5650" width="12.140625" style="103" customWidth="1"/>
    <col min="5651" max="5651" width="7.5703125" style="103" bestFit="1" customWidth="1"/>
    <col min="5652" max="5652" width="10.28515625" style="103" customWidth="1"/>
    <col min="5653" max="5653" width="7.28515625" style="103" customWidth="1"/>
    <col min="5654" max="5654" width="7.5703125" style="103" customWidth="1"/>
    <col min="5655" max="5655" width="9.28515625" style="103" customWidth="1"/>
    <col min="5656" max="5888" width="9.140625" style="103"/>
    <col min="5889" max="5889" width="24.140625" style="103" customWidth="1"/>
    <col min="5890" max="5890" width="0" style="103" hidden="1" customWidth="1"/>
    <col min="5891" max="5891" width="13.85546875" style="103" bestFit="1" customWidth="1"/>
    <col min="5892" max="5892" width="13.85546875" style="103" customWidth="1"/>
    <col min="5893" max="5893" width="11.85546875" style="103" bestFit="1" customWidth="1"/>
    <col min="5894" max="5894" width="12.140625" style="103" bestFit="1" customWidth="1"/>
    <col min="5895" max="5895" width="13.140625" style="103" bestFit="1" customWidth="1"/>
    <col min="5896" max="5896" width="7.85546875" style="103" bestFit="1" customWidth="1"/>
    <col min="5897" max="5897" width="7.5703125" style="103" bestFit="1" customWidth="1"/>
    <col min="5898" max="5898" width="13.5703125" style="103" bestFit="1" customWidth="1"/>
    <col min="5899" max="5899" width="17.85546875" style="103" customWidth="1"/>
    <col min="5900" max="5900" width="0" style="103" hidden="1" customWidth="1"/>
    <col min="5901" max="5901" width="13.85546875" style="103" bestFit="1" customWidth="1"/>
    <col min="5902" max="5902" width="13.28515625" style="103" customWidth="1"/>
    <col min="5903" max="5903" width="11" style="103" bestFit="1" customWidth="1"/>
    <col min="5904" max="5904" width="13.42578125" style="103" bestFit="1" customWidth="1"/>
    <col min="5905" max="5905" width="13.140625" style="103" bestFit="1" customWidth="1"/>
    <col min="5906" max="5906" width="12.140625" style="103" customWidth="1"/>
    <col min="5907" max="5907" width="7.5703125" style="103" bestFit="1" customWidth="1"/>
    <col min="5908" max="5908" width="10.28515625" style="103" customWidth="1"/>
    <col min="5909" max="5909" width="7.28515625" style="103" customWidth="1"/>
    <col min="5910" max="5910" width="7.5703125" style="103" customWidth="1"/>
    <col min="5911" max="5911" width="9.28515625" style="103" customWidth="1"/>
    <col min="5912" max="6144" width="9.140625" style="103"/>
    <col min="6145" max="6145" width="24.140625" style="103" customWidth="1"/>
    <col min="6146" max="6146" width="0" style="103" hidden="1" customWidth="1"/>
    <col min="6147" max="6147" width="13.85546875" style="103" bestFit="1" customWidth="1"/>
    <col min="6148" max="6148" width="13.85546875" style="103" customWidth="1"/>
    <col min="6149" max="6149" width="11.85546875" style="103" bestFit="1" customWidth="1"/>
    <col min="6150" max="6150" width="12.140625" style="103" bestFit="1" customWidth="1"/>
    <col min="6151" max="6151" width="13.140625" style="103" bestFit="1" customWidth="1"/>
    <col min="6152" max="6152" width="7.85546875" style="103" bestFit="1" customWidth="1"/>
    <col min="6153" max="6153" width="7.5703125" style="103" bestFit="1" customWidth="1"/>
    <col min="6154" max="6154" width="13.5703125" style="103" bestFit="1" customWidth="1"/>
    <col min="6155" max="6155" width="17.85546875" style="103" customWidth="1"/>
    <col min="6156" max="6156" width="0" style="103" hidden="1" customWidth="1"/>
    <col min="6157" max="6157" width="13.85546875" style="103" bestFit="1" customWidth="1"/>
    <col min="6158" max="6158" width="13.28515625" style="103" customWidth="1"/>
    <col min="6159" max="6159" width="11" style="103" bestFit="1" customWidth="1"/>
    <col min="6160" max="6160" width="13.42578125" style="103" bestFit="1" customWidth="1"/>
    <col min="6161" max="6161" width="13.140625" style="103" bestFit="1" customWidth="1"/>
    <col min="6162" max="6162" width="12.140625" style="103" customWidth="1"/>
    <col min="6163" max="6163" width="7.5703125" style="103" bestFit="1" customWidth="1"/>
    <col min="6164" max="6164" width="10.28515625" style="103" customWidth="1"/>
    <col min="6165" max="6165" width="7.28515625" style="103" customWidth="1"/>
    <col min="6166" max="6166" width="7.5703125" style="103" customWidth="1"/>
    <col min="6167" max="6167" width="9.28515625" style="103" customWidth="1"/>
    <col min="6168" max="6400" width="9.140625" style="103"/>
    <col min="6401" max="6401" width="24.140625" style="103" customWidth="1"/>
    <col min="6402" max="6402" width="0" style="103" hidden="1" customWidth="1"/>
    <col min="6403" max="6403" width="13.85546875" style="103" bestFit="1" customWidth="1"/>
    <col min="6404" max="6404" width="13.85546875" style="103" customWidth="1"/>
    <col min="6405" max="6405" width="11.85546875" style="103" bestFit="1" customWidth="1"/>
    <col min="6406" max="6406" width="12.140625" style="103" bestFit="1" customWidth="1"/>
    <col min="6407" max="6407" width="13.140625" style="103" bestFit="1" customWidth="1"/>
    <col min="6408" max="6408" width="7.85546875" style="103" bestFit="1" customWidth="1"/>
    <col min="6409" max="6409" width="7.5703125" style="103" bestFit="1" customWidth="1"/>
    <col min="6410" max="6410" width="13.5703125" style="103" bestFit="1" customWidth="1"/>
    <col min="6411" max="6411" width="17.85546875" style="103" customWidth="1"/>
    <col min="6412" max="6412" width="0" style="103" hidden="1" customWidth="1"/>
    <col min="6413" max="6413" width="13.85546875" style="103" bestFit="1" customWidth="1"/>
    <col min="6414" max="6414" width="13.28515625" style="103" customWidth="1"/>
    <col min="6415" max="6415" width="11" style="103" bestFit="1" customWidth="1"/>
    <col min="6416" max="6416" width="13.42578125" style="103" bestFit="1" customWidth="1"/>
    <col min="6417" max="6417" width="13.140625" style="103" bestFit="1" customWidth="1"/>
    <col min="6418" max="6418" width="12.140625" style="103" customWidth="1"/>
    <col min="6419" max="6419" width="7.5703125" style="103" bestFit="1" customWidth="1"/>
    <col min="6420" max="6420" width="10.28515625" style="103" customWidth="1"/>
    <col min="6421" max="6421" width="7.28515625" style="103" customWidth="1"/>
    <col min="6422" max="6422" width="7.5703125" style="103" customWidth="1"/>
    <col min="6423" max="6423" width="9.28515625" style="103" customWidth="1"/>
    <col min="6424" max="6656" width="9.140625" style="103"/>
    <col min="6657" max="6657" width="24.140625" style="103" customWidth="1"/>
    <col min="6658" max="6658" width="0" style="103" hidden="1" customWidth="1"/>
    <col min="6659" max="6659" width="13.85546875" style="103" bestFit="1" customWidth="1"/>
    <col min="6660" max="6660" width="13.85546875" style="103" customWidth="1"/>
    <col min="6661" max="6661" width="11.85546875" style="103" bestFit="1" customWidth="1"/>
    <col min="6662" max="6662" width="12.140625" style="103" bestFit="1" customWidth="1"/>
    <col min="6663" max="6663" width="13.140625" style="103" bestFit="1" customWidth="1"/>
    <col min="6664" max="6664" width="7.85546875" style="103" bestFit="1" customWidth="1"/>
    <col min="6665" max="6665" width="7.5703125" style="103" bestFit="1" customWidth="1"/>
    <col min="6666" max="6666" width="13.5703125" style="103" bestFit="1" customWidth="1"/>
    <col min="6667" max="6667" width="17.85546875" style="103" customWidth="1"/>
    <col min="6668" max="6668" width="0" style="103" hidden="1" customWidth="1"/>
    <col min="6669" max="6669" width="13.85546875" style="103" bestFit="1" customWidth="1"/>
    <col min="6670" max="6670" width="13.28515625" style="103" customWidth="1"/>
    <col min="6671" max="6671" width="11" style="103" bestFit="1" customWidth="1"/>
    <col min="6672" max="6672" width="13.42578125" style="103" bestFit="1" customWidth="1"/>
    <col min="6673" max="6673" width="13.140625" style="103" bestFit="1" customWidth="1"/>
    <col min="6674" max="6674" width="12.140625" style="103" customWidth="1"/>
    <col min="6675" max="6675" width="7.5703125" style="103" bestFit="1" customWidth="1"/>
    <col min="6676" max="6676" width="10.28515625" style="103" customWidth="1"/>
    <col min="6677" max="6677" width="7.28515625" style="103" customWidth="1"/>
    <col min="6678" max="6678" width="7.5703125" style="103" customWidth="1"/>
    <col min="6679" max="6679" width="9.28515625" style="103" customWidth="1"/>
    <col min="6680" max="6912" width="9.140625" style="103"/>
    <col min="6913" max="6913" width="24.140625" style="103" customWidth="1"/>
    <col min="6914" max="6914" width="0" style="103" hidden="1" customWidth="1"/>
    <col min="6915" max="6915" width="13.85546875" style="103" bestFit="1" customWidth="1"/>
    <col min="6916" max="6916" width="13.85546875" style="103" customWidth="1"/>
    <col min="6917" max="6917" width="11.85546875" style="103" bestFit="1" customWidth="1"/>
    <col min="6918" max="6918" width="12.140625" style="103" bestFit="1" customWidth="1"/>
    <col min="6919" max="6919" width="13.140625" style="103" bestFit="1" customWidth="1"/>
    <col min="6920" max="6920" width="7.85546875" style="103" bestFit="1" customWidth="1"/>
    <col min="6921" max="6921" width="7.5703125" style="103" bestFit="1" customWidth="1"/>
    <col min="6922" max="6922" width="13.5703125" style="103" bestFit="1" customWidth="1"/>
    <col min="6923" max="6923" width="17.85546875" style="103" customWidth="1"/>
    <col min="6924" max="6924" width="0" style="103" hidden="1" customWidth="1"/>
    <col min="6925" max="6925" width="13.85546875" style="103" bestFit="1" customWidth="1"/>
    <col min="6926" max="6926" width="13.28515625" style="103" customWidth="1"/>
    <col min="6927" max="6927" width="11" style="103" bestFit="1" customWidth="1"/>
    <col min="6928" max="6928" width="13.42578125" style="103" bestFit="1" customWidth="1"/>
    <col min="6929" max="6929" width="13.140625" style="103" bestFit="1" customWidth="1"/>
    <col min="6930" max="6930" width="12.140625" style="103" customWidth="1"/>
    <col min="6931" max="6931" width="7.5703125" style="103" bestFit="1" customWidth="1"/>
    <col min="6932" max="6932" width="10.28515625" style="103" customWidth="1"/>
    <col min="6933" max="6933" width="7.28515625" style="103" customWidth="1"/>
    <col min="6934" max="6934" width="7.5703125" style="103" customWidth="1"/>
    <col min="6935" max="6935" width="9.28515625" style="103" customWidth="1"/>
    <col min="6936" max="7168" width="9.140625" style="103"/>
    <col min="7169" max="7169" width="24.140625" style="103" customWidth="1"/>
    <col min="7170" max="7170" width="0" style="103" hidden="1" customWidth="1"/>
    <col min="7171" max="7171" width="13.85546875" style="103" bestFit="1" customWidth="1"/>
    <col min="7172" max="7172" width="13.85546875" style="103" customWidth="1"/>
    <col min="7173" max="7173" width="11.85546875" style="103" bestFit="1" customWidth="1"/>
    <col min="7174" max="7174" width="12.140625" style="103" bestFit="1" customWidth="1"/>
    <col min="7175" max="7175" width="13.140625" style="103" bestFit="1" customWidth="1"/>
    <col min="7176" max="7176" width="7.85546875" style="103" bestFit="1" customWidth="1"/>
    <col min="7177" max="7177" width="7.5703125" style="103" bestFit="1" customWidth="1"/>
    <col min="7178" max="7178" width="13.5703125" style="103" bestFit="1" customWidth="1"/>
    <col min="7179" max="7179" width="17.85546875" style="103" customWidth="1"/>
    <col min="7180" max="7180" width="0" style="103" hidden="1" customWidth="1"/>
    <col min="7181" max="7181" width="13.85546875" style="103" bestFit="1" customWidth="1"/>
    <col min="7182" max="7182" width="13.28515625" style="103" customWidth="1"/>
    <col min="7183" max="7183" width="11" style="103" bestFit="1" customWidth="1"/>
    <col min="7184" max="7184" width="13.42578125" style="103" bestFit="1" customWidth="1"/>
    <col min="7185" max="7185" width="13.140625" style="103" bestFit="1" customWidth="1"/>
    <col min="7186" max="7186" width="12.140625" style="103" customWidth="1"/>
    <col min="7187" max="7187" width="7.5703125" style="103" bestFit="1" customWidth="1"/>
    <col min="7188" max="7188" width="10.28515625" style="103" customWidth="1"/>
    <col min="7189" max="7189" width="7.28515625" style="103" customWidth="1"/>
    <col min="7190" max="7190" width="7.5703125" style="103" customWidth="1"/>
    <col min="7191" max="7191" width="9.28515625" style="103" customWidth="1"/>
    <col min="7192" max="7424" width="9.140625" style="103"/>
    <col min="7425" max="7425" width="24.140625" style="103" customWidth="1"/>
    <col min="7426" max="7426" width="0" style="103" hidden="1" customWidth="1"/>
    <col min="7427" max="7427" width="13.85546875" style="103" bestFit="1" customWidth="1"/>
    <col min="7428" max="7428" width="13.85546875" style="103" customWidth="1"/>
    <col min="7429" max="7429" width="11.85546875" style="103" bestFit="1" customWidth="1"/>
    <col min="7430" max="7430" width="12.140625" style="103" bestFit="1" customWidth="1"/>
    <col min="7431" max="7431" width="13.140625" style="103" bestFit="1" customWidth="1"/>
    <col min="7432" max="7432" width="7.85546875" style="103" bestFit="1" customWidth="1"/>
    <col min="7433" max="7433" width="7.5703125" style="103" bestFit="1" customWidth="1"/>
    <col min="7434" max="7434" width="13.5703125" style="103" bestFit="1" customWidth="1"/>
    <col min="7435" max="7435" width="17.85546875" style="103" customWidth="1"/>
    <col min="7436" max="7436" width="0" style="103" hidden="1" customWidth="1"/>
    <col min="7437" max="7437" width="13.85546875" style="103" bestFit="1" customWidth="1"/>
    <col min="7438" max="7438" width="13.28515625" style="103" customWidth="1"/>
    <col min="7439" max="7439" width="11" style="103" bestFit="1" customWidth="1"/>
    <col min="7440" max="7440" width="13.42578125" style="103" bestFit="1" customWidth="1"/>
    <col min="7441" max="7441" width="13.140625" style="103" bestFit="1" customWidth="1"/>
    <col min="7442" max="7442" width="12.140625" style="103" customWidth="1"/>
    <col min="7443" max="7443" width="7.5703125" style="103" bestFit="1" customWidth="1"/>
    <col min="7444" max="7444" width="10.28515625" style="103" customWidth="1"/>
    <col min="7445" max="7445" width="7.28515625" style="103" customWidth="1"/>
    <col min="7446" max="7446" width="7.5703125" style="103" customWidth="1"/>
    <col min="7447" max="7447" width="9.28515625" style="103" customWidth="1"/>
    <col min="7448" max="7680" width="9.140625" style="103"/>
    <col min="7681" max="7681" width="24.140625" style="103" customWidth="1"/>
    <col min="7682" max="7682" width="0" style="103" hidden="1" customWidth="1"/>
    <col min="7683" max="7683" width="13.85546875" style="103" bestFit="1" customWidth="1"/>
    <col min="7684" max="7684" width="13.85546875" style="103" customWidth="1"/>
    <col min="7685" max="7685" width="11.85546875" style="103" bestFit="1" customWidth="1"/>
    <col min="7686" max="7686" width="12.140625" style="103" bestFit="1" customWidth="1"/>
    <col min="7687" max="7687" width="13.140625" style="103" bestFit="1" customWidth="1"/>
    <col min="7688" max="7688" width="7.85546875" style="103" bestFit="1" customWidth="1"/>
    <col min="7689" max="7689" width="7.5703125" style="103" bestFit="1" customWidth="1"/>
    <col min="7690" max="7690" width="13.5703125" style="103" bestFit="1" customWidth="1"/>
    <col min="7691" max="7691" width="17.85546875" style="103" customWidth="1"/>
    <col min="7692" max="7692" width="0" style="103" hidden="1" customWidth="1"/>
    <col min="7693" max="7693" width="13.85546875" style="103" bestFit="1" customWidth="1"/>
    <col min="7694" max="7694" width="13.28515625" style="103" customWidth="1"/>
    <col min="7695" max="7695" width="11" style="103" bestFit="1" customWidth="1"/>
    <col min="7696" max="7696" width="13.42578125" style="103" bestFit="1" customWidth="1"/>
    <col min="7697" max="7697" width="13.140625" style="103" bestFit="1" customWidth="1"/>
    <col min="7698" max="7698" width="12.140625" style="103" customWidth="1"/>
    <col min="7699" max="7699" width="7.5703125" style="103" bestFit="1" customWidth="1"/>
    <col min="7700" max="7700" width="10.28515625" style="103" customWidth="1"/>
    <col min="7701" max="7701" width="7.28515625" style="103" customWidth="1"/>
    <col min="7702" max="7702" width="7.5703125" style="103" customWidth="1"/>
    <col min="7703" max="7703" width="9.28515625" style="103" customWidth="1"/>
    <col min="7704" max="7936" width="9.140625" style="103"/>
    <col min="7937" max="7937" width="24.140625" style="103" customWidth="1"/>
    <col min="7938" max="7938" width="0" style="103" hidden="1" customWidth="1"/>
    <col min="7939" max="7939" width="13.85546875" style="103" bestFit="1" customWidth="1"/>
    <col min="7940" max="7940" width="13.85546875" style="103" customWidth="1"/>
    <col min="7941" max="7941" width="11.85546875" style="103" bestFit="1" customWidth="1"/>
    <col min="7942" max="7942" width="12.140625" style="103" bestFit="1" customWidth="1"/>
    <col min="7943" max="7943" width="13.140625" style="103" bestFit="1" customWidth="1"/>
    <col min="7944" max="7944" width="7.85546875" style="103" bestFit="1" customWidth="1"/>
    <col min="7945" max="7945" width="7.5703125" style="103" bestFit="1" customWidth="1"/>
    <col min="7946" max="7946" width="13.5703125" style="103" bestFit="1" customWidth="1"/>
    <col min="7947" max="7947" width="17.85546875" style="103" customWidth="1"/>
    <col min="7948" max="7948" width="0" style="103" hidden="1" customWidth="1"/>
    <col min="7949" max="7949" width="13.85546875" style="103" bestFit="1" customWidth="1"/>
    <col min="7950" max="7950" width="13.28515625" style="103" customWidth="1"/>
    <col min="7951" max="7951" width="11" style="103" bestFit="1" customWidth="1"/>
    <col min="7952" max="7952" width="13.42578125" style="103" bestFit="1" customWidth="1"/>
    <col min="7953" max="7953" width="13.140625" style="103" bestFit="1" customWidth="1"/>
    <col min="7954" max="7954" width="12.140625" style="103" customWidth="1"/>
    <col min="7955" max="7955" width="7.5703125" style="103" bestFit="1" customWidth="1"/>
    <col min="7956" max="7956" width="10.28515625" style="103" customWidth="1"/>
    <col min="7957" max="7957" width="7.28515625" style="103" customWidth="1"/>
    <col min="7958" max="7958" width="7.5703125" style="103" customWidth="1"/>
    <col min="7959" max="7959" width="9.28515625" style="103" customWidth="1"/>
    <col min="7960" max="8192" width="9.140625" style="103"/>
    <col min="8193" max="8193" width="24.140625" style="103" customWidth="1"/>
    <col min="8194" max="8194" width="0" style="103" hidden="1" customWidth="1"/>
    <col min="8195" max="8195" width="13.85546875" style="103" bestFit="1" customWidth="1"/>
    <col min="8196" max="8196" width="13.85546875" style="103" customWidth="1"/>
    <col min="8197" max="8197" width="11.85546875" style="103" bestFit="1" customWidth="1"/>
    <col min="8198" max="8198" width="12.140625" style="103" bestFit="1" customWidth="1"/>
    <col min="8199" max="8199" width="13.140625" style="103" bestFit="1" customWidth="1"/>
    <col min="8200" max="8200" width="7.85546875" style="103" bestFit="1" customWidth="1"/>
    <col min="8201" max="8201" width="7.5703125" style="103" bestFit="1" customWidth="1"/>
    <col min="8202" max="8202" width="13.5703125" style="103" bestFit="1" customWidth="1"/>
    <col min="8203" max="8203" width="17.85546875" style="103" customWidth="1"/>
    <col min="8204" max="8204" width="0" style="103" hidden="1" customWidth="1"/>
    <col min="8205" max="8205" width="13.85546875" style="103" bestFit="1" customWidth="1"/>
    <col min="8206" max="8206" width="13.28515625" style="103" customWidth="1"/>
    <col min="8207" max="8207" width="11" style="103" bestFit="1" customWidth="1"/>
    <col min="8208" max="8208" width="13.42578125" style="103" bestFit="1" customWidth="1"/>
    <col min="8209" max="8209" width="13.140625" style="103" bestFit="1" customWidth="1"/>
    <col min="8210" max="8210" width="12.140625" style="103" customWidth="1"/>
    <col min="8211" max="8211" width="7.5703125" style="103" bestFit="1" customWidth="1"/>
    <col min="8212" max="8212" width="10.28515625" style="103" customWidth="1"/>
    <col min="8213" max="8213" width="7.28515625" style="103" customWidth="1"/>
    <col min="8214" max="8214" width="7.5703125" style="103" customWidth="1"/>
    <col min="8215" max="8215" width="9.28515625" style="103" customWidth="1"/>
    <col min="8216" max="8448" width="9.140625" style="103"/>
    <col min="8449" max="8449" width="24.140625" style="103" customWidth="1"/>
    <col min="8450" max="8450" width="0" style="103" hidden="1" customWidth="1"/>
    <col min="8451" max="8451" width="13.85546875" style="103" bestFit="1" customWidth="1"/>
    <col min="8452" max="8452" width="13.85546875" style="103" customWidth="1"/>
    <col min="8453" max="8453" width="11.85546875" style="103" bestFit="1" customWidth="1"/>
    <col min="8454" max="8454" width="12.140625" style="103" bestFit="1" customWidth="1"/>
    <col min="8455" max="8455" width="13.140625" style="103" bestFit="1" customWidth="1"/>
    <col min="8456" max="8456" width="7.85546875" style="103" bestFit="1" customWidth="1"/>
    <col min="8457" max="8457" width="7.5703125" style="103" bestFit="1" customWidth="1"/>
    <col min="8458" max="8458" width="13.5703125" style="103" bestFit="1" customWidth="1"/>
    <col min="8459" max="8459" width="17.85546875" style="103" customWidth="1"/>
    <col min="8460" max="8460" width="0" style="103" hidden="1" customWidth="1"/>
    <col min="8461" max="8461" width="13.85546875" style="103" bestFit="1" customWidth="1"/>
    <col min="8462" max="8462" width="13.28515625" style="103" customWidth="1"/>
    <col min="8463" max="8463" width="11" style="103" bestFit="1" customWidth="1"/>
    <col min="8464" max="8464" width="13.42578125" style="103" bestFit="1" customWidth="1"/>
    <col min="8465" max="8465" width="13.140625" style="103" bestFit="1" customWidth="1"/>
    <col min="8466" max="8466" width="12.140625" style="103" customWidth="1"/>
    <col min="8467" max="8467" width="7.5703125" style="103" bestFit="1" customWidth="1"/>
    <col min="8468" max="8468" width="10.28515625" style="103" customWidth="1"/>
    <col min="8469" max="8469" width="7.28515625" style="103" customWidth="1"/>
    <col min="8470" max="8470" width="7.5703125" style="103" customWidth="1"/>
    <col min="8471" max="8471" width="9.28515625" style="103" customWidth="1"/>
    <col min="8472" max="8704" width="9.140625" style="103"/>
    <col min="8705" max="8705" width="24.140625" style="103" customWidth="1"/>
    <col min="8706" max="8706" width="0" style="103" hidden="1" customWidth="1"/>
    <col min="8707" max="8707" width="13.85546875" style="103" bestFit="1" customWidth="1"/>
    <col min="8708" max="8708" width="13.85546875" style="103" customWidth="1"/>
    <col min="8709" max="8709" width="11.85546875" style="103" bestFit="1" customWidth="1"/>
    <col min="8710" max="8710" width="12.140625" style="103" bestFit="1" customWidth="1"/>
    <col min="8711" max="8711" width="13.140625" style="103" bestFit="1" customWidth="1"/>
    <col min="8712" max="8712" width="7.85546875" style="103" bestFit="1" customWidth="1"/>
    <col min="8713" max="8713" width="7.5703125" style="103" bestFit="1" customWidth="1"/>
    <col min="8714" max="8714" width="13.5703125" style="103" bestFit="1" customWidth="1"/>
    <col min="8715" max="8715" width="17.85546875" style="103" customWidth="1"/>
    <col min="8716" max="8716" width="0" style="103" hidden="1" customWidth="1"/>
    <col min="8717" max="8717" width="13.85546875" style="103" bestFit="1" customWidth="1"/>
    <col min="8718" max="8718" width="13.28515625" style="103" customWidth="1"/>
    <col min="8719" max="8719" width="11" style="103" bestFit="1" customWidth="1"/>
    <col min="8720" max="8720" width="13.42578125" style="103" bestFit="1" customWidth="1"/>
    <col min="8721" max="8721" width="13.140625" style="103" bestFit="1" customWidth="1"/>
    <col min="8722" max="8722" width="12.140625" style="103" customWidth="1"/>
    <col min="8723" max="8723" width="7.5703125" style="103" bestFit="1" customWidth="1"/>
    <col min="8724" max="8724" width="10.28515625" style="103" customWidth="1"/>
    <col min="8725" max="8725" width="7.28515625" style="103" customWidth="1"/>
    <col min="8726" max="8726" width="7.5703125" style="103" customWidth="1"/>
    <col min="8727" max="8727" width="9.28515625" style="103" customWidth="1"/>
    <col min="8728" max="8960" width="9.140625" style="103"/>
    <col min="8961" max="8961" width="24.140625" style="103" customWidth="1"/>
    <col min="8962" max="8962" width="0" style="103" hidden="1" customWidth="1"/>
    <col min="8963" max="8963" width="13.85546875" style="103" bestFit="1" customWidth="1"/>
    <col min="8964" max="8964" width="13.85546875" style="103" customWidth="1"/>
    <col min="8965" max="8965" width="11.85546875" style="103" bestFit="1" customWidth="1"/>
    <col min="8966" max="8966" width="12.140625" style="103" bestFit="1" customWidth="1"/>
    <col min="8967" max="8967" width="13.140625" style="103" bestFit="1" customWidth="1"/>
    <col min="8968" max="8968" width="7.85546875" style="103" bestFit="1" customWidth="1"/>
    <col min="8969" max="8969" width="7.5703125" style="103" bestFit="1" customWidth="1"/>
    <col min="8970" max="8970" width="13.5703125" style="103" bestFit="1" customWidth="1"/>
    <col min="8971" max="8971" width="17.85546875" style="103" customWidth="1"/>
    <col min="8972" max="8972" width="0" style="103" hidden="1" customWidth="1"/>
    <col min="8973" max="8973" width="13.85546875" style="103" bestFit="1" customWidth="1"/>
    <col min="8974" max="8974" width="13.28515625" style="103" customWidth="1"/>
    <col min="8975" max="8975" width="11" style="103" bestFit="1" customWidth="1"/>
    <col min="8976" max="8976" width="13.42578125" style="103" bestFit="1" customWidth="1"/>
    <col min="8977" max="8977" width="13.140625" style="103" bestFit="1" customWidth="1"/>
    <col min="8978" max="8978" width="12.140625" style="103" customWidth="1"/>
    <col min="8979" max="8979" width="7.5703125" style="103" bestFit="1" customWidth="1"/>
    <col min="8980" max="8980" width="10.28515625" style="103" customWidth="1"/>
    <col min="8981" max="8981" width="7.28515625" style="103" customWidth="1"/>
    <col min="8982" max="8982" width="7.5703125" style="103" customWidth="1"/>
    <col min="8983" max="8983" width="9.28515625" style="103" customWidth="1"/>
    <col min="8984" max="9216" width="9.140625" style="103"/>
    <col min="9217" max="9217" width="24.140625" style="103" customWidth="1"/>
    <col min="9218" max="9218" width="0" style="103" hidden="1" customWidth="1"/>
    <col min="9219" max="9219" width="13.85546875" style="103" bestFit="1" customWidth="1"/>
    <col min="9220" max="9220" width="13.85546875" style="103" customWidth="1"/>
    <col min="9221" max="9221" width="11.85546875" style="103" bestFit="1" customWidth="1"/>
    <col min="9222" max="9222" width="12.140625" style="103" bestFit="1" customWidth="1"/>
    <col min="9223" max="9223" width="13.140625" style="103" bestFit="1" customWidth="1"/>
    <col min="9224" max="9224" width="7.85546875" style="103" bestFit="1" customWidth="1"/>
    <col min="9225" max="9225" width="7.5703125" style="103" bestFit="1" customWidth="1"/>
    <col min="9226" max="9226" width="13.5703125" style="103" bestFit="1" customWidth="1"/>
    <col min="9227" max="9227" width="17.85546875" style="103" customWidth="1"/>
    <col min="9228" max="9228" width="0" style="103" hidden="1" customWidth="1"/>
    <col min="9229" max="9229" width="13.85546875" style="103" bestFit="1" customWidth="1"/>
    <col min="9230" max="9230" width="13.28515625" style="103" customWidth="1"/>
    <col min="9231" max="9231" width="11" style="103" bestFit="1" customWidth="1"/>
    <col min="9232" max="9232" width="13.42578125" style="103" bestFit="1" customWidth="1"/>
    <col min="9233" max="9233" width="13.140625" style="103" bestFit="1" customWidth="1"/>
    <col min="9234" max="9234" width="12.140625" style="103" customWidth="1"/>
    <col min="9235" max="9235" width="7.5703125" style="103" bestFit="1" customWidth="1"/>
    <col min="9236" max="9236" width="10.28515625" style="103" customWidth="1"/>
    <col min="9237" max="9237" width="7.28515625" style="103" customWidth="1"/>
    <col min="9238" max="9238" width="7.5703125" style="103" customWidth="1"/>
    <col min="9239" max="9239" width="9.28515625" style="103" customWidth="1"/>
    <col min="9240" max="9472" width="9.140625" style="103"/>
    <col min="9473" max="9473" width="24.140625" style="103" customWidth="1"/>
    <col min="9474" max="9474" width="0" style="103" hidden="1" customWidth="1"/>
    <col min="9475" max="9475" width="13.85546875" style="103" bestFit="1" customWidth="1"/>
    <col min="9476" max="9476" width="13.85546875" style="103" customWidth="1"/>
    <col min="9477" max="9477" width="11.85546875" style="103" bestFit="1" customWidth="1"/>
    <col min="9478" max="9478" width="12.140625" style="103" bestFit="1" customWidth="1"/>
    <col min="9479" max="9479" width="13.140625" style="103" bestFit="1" customWidth="1"/>
    <col min="9480" max="9480" width="7.85546875" style="103" bestFit="1" customWidth="1"/>
    <col min="9481" max="9481" width="7.5703125" style="103" bestFit="1" customWidth="1"/>
    <col min="9482" max="9482" width="13.5703125" style="103" bestFit="1" customWidth="1"/>
    <col min="9483" max="9483" width="17.85546875" style="103" customWidth="1"/>
    <col min="9484" max="9484" width="0" style="103" hidden="1" customWidth="1"/>
    <col min="9485" max="9485" width="13.85546875" style="103" bestFit="1" customWidth="1"/>
    <col min="9486" max="9486" width="13.28515625" style="103" customWidth="1"/>
    <col min="9487" max="9487" width="11" style="103" bestFit="1" customWidth="1"/>
    <col min="9488" max="9488" width="13.42578125" style="103" bestFit="1" customWidth="1"/>
    <col min="9489" max="9489" width="13.140625" style="103" bestFit="1" customWidth="1"/>
    <col min="9490" max="9490" width="12.140625" style="103" customWidth="1"/>
    <col min="9491" max="9491" width="7.5703125" style="103" bestFit="1" customWidth="1"/>
    <col min="9492" max="9492" width="10.28515625" style="103" customWidth="1"/>
    <col min="9493" max="9493" width="7.28515625" style="103" customWidth="1"/>
    <col min="9494" max="9494" width="7.5703125" style="103" customWidth="1"/>
    <col min="9495" max="9495" width="9.28515625" style="103" customWidth="1"/>
    <col min="9496" max="9728" width="9.140625" style="103"/>
    <col min="9729" max="9729" width="24.140625" style="103" customWidth="1"/>
    <col min="9730" max="9730" width="0" style="103" hidden="1" customWidth="1"/>
    <col min="9731" max="9731" width="13.85546875" style="103" bestFit="1" customWidth="1"/>
    <col min="9732" max="9732" width="13.85546875" style="103" customWidth="1"/>
    <col min="9733" max="9733" width="11.85546875" style="103" bestFit="1" customWidth="1"/>
    <col min="9734" max="9734" width="12.140625" style="103" bestFit="1" customWidth="1"/>
    <col min="9735" max="9735" width="13.140625" style="103" bestFit="1" customWidth="1"/>
    <col min="9736" max="9736" width="7.85546875" style="103" bestFit="1" customWidth="1"/>
    <col min="9737" max="9737" width="7.5703125" style="103" bestFit="1" customWidth="1"/>
    <col min="9738" max="9738" width="13.5703125" style="103" bestFit="1" customWidth="1"/>
    <col min="9739" max="9739" width="17.85546875" style="103" customWidth="1"/>
    <col min="9740" max="9740" width="0" style="103" hidden="1" customWidth="1"/>
    <col min="9741" max="9741" width="13.85546875" style="103" bestFit="1" customWidth="1"/>
    <col min="9742" max="9742" width="13.28515625" style="103" customWidth="1"/>
    <col min="9743" max="9743" width="11" style="103" bestFit="1" customWidth="1"/>
    <col min="9744" max="9744" width="13.42578125" style="103" bestFit="1" customWidth="1"/>
    <col min="9745" max="9745" width="13.140625" style="103" bestFit="1" customWidth="1"/>
    <col min="9746" max="9746" width="12.140625" style="103" customWidth="1"/>
    <col min="9747" max="9747" width="7.5703125" style="103" bestFit="1" customWidth="1"/>
    <col min="9748" max="9748" width="10.28515625" style="103" customWidth="1"/>
    <col min="9749" max="9749" width="7.28515625" style="103" customWidth="1"/>
    <col min="9750" max="9750" width="7.5703125" style="103" customWidth="1"/>
    <col min="9751" max="9751" width="9.28515625" style="103" customWidth="1"/>
    <col min="9752" max="9984" width="9.140625" style="103"/>
    <col min="9985" max="9985" width="24.140625" style="103" customWidth="1"/>
    <col min="9986" max="9986" width="0" style="103" hidden="1" customWidth="1"/>
    <col min="9987" max="9987" width="13.85546875" style="103" bestFit="1" customWidth="1"/>
    <col min="9988" max="9988" width="13.85546875" style="103" customWidth="1"/>
    <col min="9989" max="9989" width="11.85546875" style="103" bestFit="1" customWidth="1"/>
    <col min="9990" max="9990" width="12.140625" style="103" bestFit="1" customWidth="1"/>
    <col min="9991" max="9991" width="13.140625" style="103" bestFit="1" customWidth="1"/>
    <col min="9992" max="9992" width="7.85546875" style="103" bestFit="1" customWidth="1"/>
    <col min="9993" max="9993" width="7.5703125" style="103" bestFit="1" customWidth="1"/>
    <col min="9994" max="9994" width="13.5703125" style="103" bestFit="1" customWidth="1"/>
    <col min="9995" max="9995" width="17.85546875" style="103" customWidth="1"/>
    <col min="9996" max="9996" width="0" style="103" hidden="1" customWidth="1"/>
    <col min="9997" max="9997" width="13.85546875" style="103" bestFit="1" customWidth="1"/>
    <col min="9998" max="9998" width="13.28515625" style="103" customWidth="1"/>
    <col min="9999" max="9999" width="11" style="103" bestFit="1" customWidth="1"/>
    <col min="10000" max="10000" width="13.42578125" style="103" bestFit="1" customWidth="1"/>
    <col min="10001" max="10001" width="13.140625" style="103" bestFit="1" customWidth="1"/>
    <col min="10002" max="10002" width="12.140625" style="103" customWidth="1"/>
    <col min="10003" max="10003" width="7.5703125" style="103" bestFit="1" customWidth="1"/>
    <col min="10004" max="10004" width="10.28515625" style="103" customWidth="1"/>
    <col min="10005" max="10005" width="7.28515625" style="103" customWidth="1"/>
    <col min="10006" max="10006" width="7.5703125" style="103" customWidth="1"/>
    <col min="10007" max="10007" width="9.28515625" style="103" customWidth="1"/>
    <col min="10008" max="10240" width="9.140625" style="103"/>
    <col min="10241" max="10241" width="24.140625" style="103" customWidth="1"/>
    <col min="10242" max="10242" width="0" style="103" hidden="1" customWidth="1"/>
    <col min="10243" max="10243" width="13.85546875" style="103" bestFit="1" customWidth="1"/>
    <col min="10244" max="10244" width="13.85546875" style="103" customWidth="1"/>
    <col min="10245" max="10245" width="11.85546875" style="103" bestFit="1" customWidth="1"/>
    <col min="10246" max="10246" width="12.140625" style="103" bestFit="1" customWidth="1"/>
    <col min="10247" max="10247" width="13.140625" style="103" bestFit="1" customWidth="1"/>
    <col min="10248" max="10248" width="7.85546875" style="103" bestFit="1" customWidth="1"/>
    <col min="10249" max="10249" width="7.5703125" style="103" bestFit="1" customWidth="1"/>
    <col min="10250" max="10250" width="13.5703125" style="103" bestFit="1" customWidth="1"/>
    <col min="10251" max="10251" width="17.85546875" style="103" customWidth="1"/>
    <col min="10252" max="10252" width="0" style="103" hidden="1" customWidth="1"/>
    <col min="10253" max="10253" width="13.85546875" style="103" bestFit="1" customWidth="1"/>
    <col min="10254" max="10254" width="13.28515625" style="103" customWidth="1"/>
    <col min="10255" max="10255" width="11" style="103" bestFit="1" customWidth="1"/>
    <col min="10256" max="10256" width="13.42578125" style="103" bestFit="1" customWidth="1"/>
    <col min="10257" max="10257" width="13.140625" style="103" bestFit="1" customWidth="1"/>
    <col min="10258" max="10258" width="12.140625" style="103" customWidth="1"/>
    <col min="10259" max="10259" width="7.5703125" style="103" bestFit="1" customWidth="1"/>
    <col min="10260" max="10260" width="10.28515625" style="103" customWidth="1"/>
    <col min="10261" max="10261" width="7.28515625" style="103" customWidth="1"/>
    <col min="10262" max="10262" width="7.5703125" style="103" customWidth="1"/>
    <col min="10263" max="10263" width="9.28515625" style="103" customWidth="1"/>
    <col min="10264" max="10496" width="9.140625" style="103"/>
    <col min="10497" max="10497" width="24.140625" style="103" customWidth="1"/>
    <col min="10498" max="10498" width="0" style="103" hidden="1" customWidth="1"/>
    <col min="10499" max="10499" width="13.85546875" style="103" bestFit="1" customWidth="1"/>
    <col min="10500" max="10500" width="13.85546875" style="103" customWidth="1"/>
    <col min="10501" max="10501" width="11.85546875" style="103" bestFit="1" customWidth="1"/>
    <col min="10502" max="10502" width="12.140625" style="103" bestFit="1" customWidth="1"/>
    <col min="10503" max="10503" width="13.140625" style="103" bestFit="1" customWidth="1"/>
    <col min="10504" max="10504" width="7.85546875" style="103" bestFit="1" customWidth="1"/>
    <col min="10505" max="10505" width="7.5703125" style="103" bestFit="1" customWidth="1"/>
    <col min="10506" max="10506" width="13.5703125" style="103" bestFit="1" customWidth="1"/>
    <col min="10507" max="10507" width="17.85546875" style="103" customWidth="1"/>
    <col min="10508" max="10508" width="0" style="103" hidden="1" customWidth="1"/>
    <col min="10509" max="10509" width="13.85546875" style="103" bestFit="1" customWidth="1"/>
    <col min="10510" max="10510" width="13.28515625" style="103" customWidth="1"/>
    <col min="10511" max="10511" width="11" style="103" bestFit="1" customWidth="1"/>
    <col min="10512" max="10512" width="13.42578125" style="103" bestFit="1" customWidth="1"/>
    <col min="10513" max="10513" width="13.140625" style="103" bestFit="1" customWidth="1"/>
    <col min="10514" max="10514" width="12.140625" style="103" customWidth="1"/>
    <col min="10515" max="10515" width="7.5703125" style="103" bestFit="1" customWidth="1"/>
    <col min="10516" max="10516" width="10.28515625" style="103" customWidth="1"/>
    <col min="10517" max="10517" width="7.28515625" style="103" customWidth="1"/>
    <col min="10518" max="10518" width="7.5703125" style="103" customWidth="1"/>
    <col min="10519" max="10519" width="9.28515625" style="103" customWidth="1"/>
    <col min="10520" max="10752" width="9.140625" style="103"/>
    <col min="10753" max="10753" width="24.140625" style="103" customWidth="1"/>
    <col min="10754" max="10754" width="0" style="103" hidden="1" customWidth="1"/>
    <col min="10755" max="10755" width="13.85546875" style="103" bestFit="1" customWidth="1"/>
    <col min="10756" max="10756" width="13.85546875" style="103" customWidth="1"/>
    <col min="10757" max="10757" width="11.85546875" style="103" bestFit="1" customWidth="1"/>
    <col min="10758" max="10758" width="12.140625" style="103" bestFit="1" customWidth="1"/>
    <col min="10759" max="10759" width="13.140625" style="103" bestFit="1" customWidth="1"/>
    <col min="10760" max="10760" width="7.85546875" style="103" bestFit="1" customWidth="1"/>
    <col min="10761" max="10761" width="7.5703125" style="103" bestFit="1" customWidth="1"/>
    <col min="10762" max="10762" width="13.5703125" style="103" bestFit="1" customWidth="1"/>
    <col min="10763" max="10763" width="17.85546875" style="103" customWidth="1"/>
    <col min="10764" max="10764" width="0" style="103" hidden="1" customWidth="1"/>
    <col min="10765" max="10765" width="13.85546875" style="103" bestFit="1" customWidth="1"/>
    <col min="10766" max="10766" width="13.28515625" style="103" customWidth="1"/>
    <col min="10767" max="10767" width="11" style="103" bestFit="1" customWidth="1"/>
    <col min="10768" max="10768" width="13.42578125" style="103" bestFit="1" customWidth="1"/>
    <col min="10769" max="10769" width="13.140625" style="103" bestFit="1" customWidth="1"/>
    <col min="10770" max="10770" width="12.140625" style="103" customWidth="1"/>
    <col min="10771" max="10771" width="7.5703125" style="103" bestFit="1" customWidth="1"/>
    <col min="10772" max="10772" width="10.28515625" style="103" customWidth="1"/>
    <col min="10773" max="10773" width="7.28515625" style="103" customWidth="1"/>
    <col min="10774" max="10774" width="7.5703125" style="103" customWidth="1"/>
    <col min="10775" max="10775" width="9.28515625" style="103" customWidth="1"/>
    <col min="10776" max="11008" width="9.140625" style="103"/>
    <col min="11009" max="11009" width="24.140625" style="103" customWidth="1"/>
    <col min="11010" max="11010" width="0" style="103" hidden="1" customWidth="1"/>
    <col min="11011" max="11011" width="13.85546875" style="103" bestFit="1" customWidth="1"/>
    <col min="11012" max="11012" width="13.85546875" style="103" customWidth="1"/>
    <col min="11013" max="11013" width="11.85546875" style="103" bestFit="1" customWidth="1"/>
    <col min="11014" max="11014" width="12.140625" style="103" bestFit="1" customWidth="1"/>
    <col min="11015" max="11015" width="13.140625" style="103" bestFit="1" customWidth="1"/>
    <col min="11016" max="11016" width="7.85546875" style="103" bestFit="1" customWidth="1"/>
    <col min="11017" max="11017" width="7.5703125" style="103" bestFit="1" customWidth="1"/>
    <col min="11018" max="11018" width="13.5703125" style="103" bestFit="1" customWidth="1"/>
    <col min="11019" max="11019" width="17.85546875" style="103" customWidth="1"/>
    <col min="11020" max="11020" width="0" style="103" hidden="1" customWidth="1"/>
    <col min="11021" max="11021" width="13.85546875" style="103" bestFit="1" customWidth="1"/>
    <col min="11022" max="11022" width="13.28515625" style="103" customWidth="1"/>
    <col min="11023" max="11023" width="11" style="103" bestFit="1" customWidth="1"/>
    <col min="11024" max="11024" width="13.42578125" style="103" bestFit="1" customWidth="1"/>
    <col min="11025" max="11025" width="13.140625" style="103" bestFit="1" customWidth="1"/>
    <col min="11026" max="11026" width="12.140625" style="103" customWidth="1"/>
    <col min="11027" max="11027" width="7.5703125" style="103" bestFit="1" customWidth="1"/>
    <col min="11028" max="11028" width="10.28515625" style="103" customWidth="1"/>
    <col min="11029" max="11029" width="7.28515625" style="103" customWidth="1"/>
    <col min="11030" max="11030" width="7.5703125" style="103" customWidth="1"/>
    <col min="11031" max="11031" width="9.28515625" style="103" customWidth="1"/>
    <col min="11032" max="11264" width="9.140625" style="103"/>
    <col min="11265" max="11265" width="24.140625" style="103" customWidth="1"/>
    <col min="11266" max="11266" width="0" style="103" hidden="1" customWidth="1"/>
    <col min="11267" max="11267" width="13.85546875" style="103" bestFit="1" customWidth="1"/>
    <col min="11268" max="11268" width="13.85546875" style="103" customWidth="1"/>
    <col min="11269" max="11269" width="11.85546875" style="103" bestFit="1" customWidth="1"/>
    <col min="11270" max="11270" width="12.140625" style="103" bestFit="1" customWidth="1"/>
    <col min="11271" max="11271" width="13.140625" style="103" bestFit="1" customWidth="1"/>
    <col min="11272" max="11272" width="7.85546875" style="103" bestFit="1" customWidth="1"/>
    <col min="11273" max="11273" width="7.5703125" style="103" bestFit="1" customWidth="1"/>
    <col min="11274" max="11274" width="13.5703125" style="103" bestFit="1" customWidth="1"/>
    <col min="11275" max="11275" width="17.85546875" style="103" customWidth="1"/>
    <col min="11276" max="11276" width="0" style="103" hidden="1" customWidth="1"/>
    <col min="11277" max="11277" width="13.85546875" style="103" bestFit="1" customWidth="1"/>
    <col min="11278" max="11278" width="13.28515625" style="103" customWidth="1"/>
    <col min="11279" max="11279" width="11" style="103" bestFit="1" customWidth="1"/>
    <col min="11280" max="11280" width="13.42578125" style="103" bestFit="1" customWidth="1"/>
    <col min="11281" max="11281" width="13.140625" style="103" bestFit="1" customWidth="1"/>
    <col min="11282" max="11282" width="12.140625" style="103" customWidth="1"/>
    <col min="11283" max="11283" width="7.5703125" style="103" bestFit="1" customWidth="1"/>
    <col min="11284" max="11284" width="10.28515625" style="103" customWidth="1"/>
    <col min="11285" max="11285" width="7.28515625" style="103" customWidth="1"/>
    <col min="11286" max="11286" width="7.5703125" style="103" customWidth="1"/>
    <col min="11287" max="11287" width="9.28515625" style="103" customWidth="1"/>
    <col min="11288" max="11520" width="9.140625" style="103"/>
    <col min="11521" max="11521" width="24.140625" style="103" customWidth="1"/>
    <col min="11522" max="11522" width="0" style="103" hidden="1" customWidth="1"/>
    <col min="11523" max="11523" width="13.85546875" style="103" bestFit="1" customWidth="1"/>
    <col min="11524" max="11524" width="13.85546875" style="103" customWidth="1"/>
    <col min="11525" max="11525" width="11.85546875" style="103" bestFit="1" customWidth="1"/>
    <col min="11526" max="11526" width="12.140625" style="103" bestFit="1" customWidth="1"/>
    <col min="11527" max="11527" width="13.140625" style="103" bestFit="1" customWidth="1"/>
    <col min="11528" max="11528" width="7.85546875" style="103" bestFit="1" customWidth="1"/>
    <col min="11529" max="11529" width="7.5703125" style="103" bestFit="1" customWidth="1"/>
    <col min="11530" max="11530" width="13.5703125" style="103" bestFit="1" customWidth="1"/>
    <col min="11531" max="11531" width="17.85546875" style="103" customWidth="1"/>
    <col min="11532" max="11532" width="0" style="103" hidden="1" customWidth="1"/>
    <col min="11533" max="11533" width="13.85546875" style="103" bestFit="1" customWidth="1"/>
    <col min="11534" max="11534" width="13.28515625" style="103" customWidth="1"/>
    <col min="11535" max="11535" width="11" style="103" bestFit="1" customWidth="1"/>
    <col min="11536" max="11536" width="13.42578125" style="103" bestFit="1" customWidth="1"/>
    <col min="11537" max="11537" width="13.140625" style="103" bestFit="1" customWidth="1"/>
    <col min="11538" max="11538" width="12.140625" style="103" customWidth="1"/>
    <col min="11539" max="11539" width="7.5703125" style="103" bestFit="1" customWidth="1"/>
    <col min="11540" max="11540" width="10.28515625" style="103" customWidth="1"/>
    <col min="11541" max="11541" width="7.28515625" style="103" customWidth="1"/>
    <col min="11542" max="11542" width="7.5703125" style="103" customWidth="1"/>
    <col min="11543" max="11543" width="9.28515625" style="103" customWidth="1"/>
    <col min="11544" max="11776" width="9.140625" style="103"/>
    <col min="11777" max="11777" width="24.140625" style="103" customWidth="1"/>
    <col min="11778" max="11778" width="0" style="103" hidden="1" customWidth="1"/>
    <col min="11779" max="11779" width="13.85546875" style="103" bestFit="1" customWidth="1"/>
    <col min="11780" max="11780" width="13.85546875" style="103" customWidth="1"/>
    <col min="11781" max="11781" width="11.85546875" style="103" bestFit="1" customWidth="1"/>
    <col min="11782" max="11782" width="12.140625" style="103" bestFit="1" customWidth="1"/>
    <col min="11783" max="11783" width="13.140625" style="103" bestFit="1" customWidth="1"/>
    <col min="11784" max="11784" width="7.85546875" style="103" bestFit="1" customWidth="1"/>
    <col min="11785" max="11785" width="7.5703125" style="103" bestFit="1" customWidth="1"/>
    <col min="11786" max="11786" width="13.5703125" style="103" bestFit="1" customWidth="1"/>
    <col min="11787" max="11787" width="17.85546875" style="103" customWidth="1"/>
    <col min="11788" max="11788" width="0" style="103" hidden="1" customWidth="1"/>
    <col min="11789" max="11789" width="13.85546875" style="103" bestFit="1" customWidth="1"/>
    <col min="11790" max="11790" width="13.28515625" style="103" customWidth="1"/>
    <col min="11791" max="11791" width="11" style="103" bestFit="1" customWidth="1"/>
    <col min="11792" max="11792" width="13.42578125" style="103" bestFit="1" customWidth="1"/>
    <col min="11793" max="11793" width="13.140625" style="103" bestFit="1" customWidth="1"/>
    <col min="11794" max="11794" width="12.140625" style="103" customWidth="1"/>
    <col min="11795" max="11795" width="7.5703125" style="103" bestFit="1" customWidth="1"/>
    <col min="11796" max="11796" width="10.28515625" style="103" customWidth="1"/>
    <col min="11797" max="11797" width="7.28515625" style="103" customWidth="1"/>
    <col min="11798" max="11798" width="7.5703125" style="103" customWidth="1"/>
    <col min="11799" max="11799" width="9.28515625" style="103" customWidth="1"/>
    <col min="11800" max="12032" width="9.140625" style="103"/>
    <col min="12033" max="12033" width="24.140625" style="103" customWidth="1"/>
    <col min="12034" max="12034" width="0" style="103" hidden="1" customWidth="1"/>
    <col min="12035" max="12035" width="13.85546875" style="103" bestFit="1" customWidth="1"/>
    <col min="12036" max="12036" width="13.85546875" style="103" customWidth="1"/>
    <col min="12037" max="12037" width="11.85546875" style="103" bestFit="1" customWidth="1"/>
    <col min="12038" max="12038" width="12.140625" style="103" bestFit="1" customWidth="1"/>
    <col min="12039" max="12039" width="13.140625" style="103" bestFit="1" customWidth="1"/>
    <col min="12040" max="12040" width="7.85546875" style="103" bestFit="1" customWidth="1"/>
    <col min="12041" max="12041" width="7.5703125" style="103" bestFit="1" customWidth="1"/>
    <col min="12042" max="12042" width="13.5703125" style="103" bestFit="1" customWidth="1"/>
    <col min="12043" max="12043" width="17.85546875" style="103" customWidth="1"/>
    <col min="12044" max="12044" width="0" style="103" hidden="1" customWidth="1"/>
    <col min="12045" max="12045" width="13.85546875" style="103" bestFit="1" customWidth="1"/>
    <col min="12046" max="12046" width="13.28515625" style="103" customWidth="1"/>
    <col min="12047" max="12047" width="11" style="103" bestFit="1" customWidth="1"/>
    <col min="12048" max="12048" width="13.42578125" style="103" bestFit="1" customWidth="1"/>
    <col min="12049" max="12049" width="13.140625" style="103" bestFit="1" customWidth="1"/>
    <col min="12050" max="12050" width="12.140625" style="103" customWidth="1"/>
    <col min="12051" max="12051" width="7.5703125" style="103" bestFit="1" customWidth="1"/>
    <col min="12052" max="12052" width="10.28515625" style="103" customWidth="1"/>
    <col min="12053" max="12053" width="7.28515625" style="103" customWidth="1"/>
    <col min="12054" max="12054" width="7.5703125" style="103" customWidth="1"/>
    <col min="12055" max="12055" width="9.28515625" style="103" customWidth="1"/>
    <col min="12056" max="12288" width="9.140625" style="103"/>
    <col min="12289" max="12289" width="24.140625" style="103" customWidth="1"/>
    <col min="12290" max="12290" width="0" style="103" hidden="1" customWidth="1"/>
    <col min="12291" max="12291" width="13.85546875" style="103" bestFit="1" customWidth="1"/>
    <col min="12292" max="12292" width="13.85546875" style="103" customWidth="1"/>
    <col min="12293" max="12293" width="11.85546875" style="103" bestFit="1" customWidth="1"/>
    <col min="12294" max="12294" width="12.140625" style="103" bestFit="1" customWidth="1"/>
    <col min="12295" max="12295" width="13.140625" style="103" bestFit="1" customWidth="1"/>
    <col min="12296" max="12296" width="7.85546875" style="103" bestFit="1" customWidth="1"/>
    <col min="12297" max="12297" width="7.5703125" style="103" bestFit="1" customWidth="1"/>
    <col min="12298" max="12298" width="13.5703125" style="103" bestFit="1" customWidth="1"/>
    <col min="12299" max="12299" width="17.85546875" style="103" customWidth="1"/>
    <col min="12300" max="12300" width="0" style="103" hidden="1" customWidth="1"/>
    <col min="12301" max="12301" width="13.85546875" style="103" bestFit="1" customWidth="1"/>
    <col min="12302" max="12302" width="13.28515625" style="103" customWidth="1"/>
    <col min="12303" max="12303" width="11" style="103" bestFit="1" customWidth="1"/>
    <col min="12304" max="12304" width="13.42578125" style="103" bestFit="1" customWidth="1"/>
    <col min="12305" max="12305" width="13.140625" style="103" bestFit="1" customWidth="1"/>
    <col min="12306" max="12306" width="12.140625" style="103" customWidth="1"/>
    <col min="12307" max="12307" width="7.5703125" style="103" bestFit="1" customWidth="1"/>
    <col min="12308" max="12308" width="10.28515625" style="103" customWidth="1"/>
    <col min="12309" max="12309" width="7.28515625" style="103" customWidth="1"/>
    <col min="12310" max="12310" width="7.5703125" style="103" customWidth="1"/>
    <col min="12311" max="12311" width="9.28515625" style="103" customWidth="1"/>
    <col min="12312" max="12544" width="9.140625" style="103"/>
    <col min="12545" max="12545" width="24.140625" style="103" customWidth="1"/>
    <col min="12546" max="12546" width="0" style="103" hidden="1" customWidth="1"/>
    <col min="12547" max="12547" width="13.85546875" style="103" bestFit="1" customWidth="1"/>
    <col min="12548" max="12548" width="13.85546875" style="103" customWidth="1"/>
    <col min="12549" max="12549" width="11.85546875" style="103" bestFit="1" customWidth="1"/>
    <col min="12550" max="12550" width="12.140625" style="103" bestFit="1" customWidth="1"/>
    <col min="12551" max="12551" width="13.140625" style="103" bestFit="1" customWidth="1"/>
    <col min="12552" max="12552" width="7.85546875" style="103" bestFit="1" customWidth="1"/>
    <col min="12553" max="12553" width="7.5703125" style="103" bestFit="1" customWidth="1"/>
    <col min="12554" max="12554" width="13.5703125" style="103" bestFit="1" customWidth="1"/>
    <col min="12555" max="12555" width="17.85546875" style="103" customWidth="1"/>
    <col min="12556" max="12556" width="0" style="103" hidden="1" customWidth="1"/>
    <col min="12557" max="12557" width="13.85546875" style="103" bestFit="1" customWidth="1"/>
    <col min="12558" max="12558" width="13.28515625" style="103" customWidth="1"/>
    <col min="12559" max="12559" width="11" style="103" bestFit="1" customWidth="1"/>
    <col min="12560" max="12560" width="13.42578125" style="103" bestFit="1" customWidth="1"/>
    <col min="12561" max="12561" width="13.140625" style="103" bestFit="1" customWidth="1"/>
    <col min="12562" max="12562" width="12.140625" style="103" customWidth="1"/>
    <col min="12563" max="12563" width="7.5703125" style="103" bestFit="1" customWidth="1"/>
    <col min="12564" max="12564" width="10.28515625" style="103" customWidth="1"/>
    <col min="12565" max="12565" width="7.28515625" style="103" customWidth="1"/>
    <col min="12566" max="12566" width="7.5703125" style="103" customWidth="1"/>
    <col min="12567" max="12567" width="9.28515625" style="103" customWidth="1"/>
    <col min="12568" max="12800" width="9.140625" style="103"/>
    <col min="12801" max="12801" width="24.140625" style="103" customWidth="1"/>
    <col min="12802" max="12802" width="0" style="103" hidden="1" customWidth="1"/>
    <col min="12803" max="12803" width="13.85546875" style="103" bestFit="1" customWidth="1"/>
    <col min="12804" max="12804" width="13.85546875" style="103" customWidth="1"/>
    <col min="12805" max="12805" width="11.85546875" style="103" bestFit="1" customWidth="1"/>
    <col min="12806" max="12806" width="12.140625" style="103" bestFit="1" customWidth="1"/>
    <col min="12807" max="12807" width="13.140625" style="103" bestFit="1" customWidth="1"/>
    <col min="12808" max="12808" width="7.85546875" style="103" bestFit="1" customWidth="1"/>
    <col min="12809" max="12809" width="7.5703125" style="103" bestFit="1" customWidth="1"/>
    <col min="12810" max="12810" width="13.5703125" style="103" bestFit="1" customWidth="1"/>
    <col min="12811" max="12811" width="17.85546875" style="103" customWidth="1"/>
    <col min="12812" max="12812" width="0" style="103" hidden="1" customWidth="1"/>
    <col min="12813" max="12813" width="13.85546875" style="103" bestFit="1" customWidth="1"/>
    <col min="12814" max="12814" width="13.28515625" style="103" customWidth="1"/>
    <col min="12815" max="12815" width="11" style="103" bestFit="1" customWidth="1"/>
    <col min="12816" max="12816" width="13.42578125" style="103" bestFit="1" customWidth="1"/>
    <col min="12817" max="12817" width="13.140625" style="103" bestFit="1" customWidth="1"/>
    <col min="12818" max="12818" width="12.140625" style="103" customWidth="1"/>
    <col min="12819" max="12819" width="7.5703125" style="103" bestFit="1" customWidth="1"/>
    <col min="12820" max="12820" width="10.28515625" style="103" customWidth="1"/>
    <col min="12821" max="12821" width="7.28515625" style="103" customWidth="1"/>
    <col min="12822" max="12822" width="7.5703125" style="103" customWidth="1"/>
    <col min="12823" max="12823" width="9.28515625" style="103" customWidth="1"/>
    <col min="12824" max="13056" width="9.140625" style="103"/>
    <col min="13057" max="13057" width="24.140625" style="103" customWidth="1"/>
    <col min="13058" max="13058" width="0" style="103" hidden="1" customWidth="1"/>
    <col min="13059" max="13059" width="13.85546875" style="103" bestFit="1" customWidth="1"/>
    <col min="13060" max="13060" width="13.85546875" style="103" customWidth="1"/>
    <col min="13061" max="13061" width="11.85546875" style="103" bestFit="1" customWidth="1"/>
    <col min="13062" max="13062" width="12.140625" style="103" bestFit="1" customWidth="1"/>
    <col min="13063" max="13063" width="13.140625" style="103" bestFit="1" customWidth="1"/>
    <col min="13064" max="13064" width="7.85546875" style="103" bestFit="1" customWidth="1"/>
    <col min="13065" max="13065" width="7.5703125" style="103" bestFit="1" customWidth="1"/>
    <col min="13066" max="13066" width="13.5703125" style="103" bestFit="1" customWidth="1"/>
    <col min="13067" max="13067" width="17.85546875" style="103" customWidth="1"/>
    <col min="13068" max="13068" width="0" style="103" hidden="1" customWidth="1"/>
    <col min="13069" max="13069" width="13.85546875" style="103" bestFit="1" customWidth="1"/>
    <col min="13070" max="13070" width="13.28515625" style="103" customWidth="1"/>
    <col min="13071" max="13071" width="11" style="103" bestFit="1" customWidth="1"/>
    <col min="13072" max="13072" width="13.42578125" style="103" bestFit="1" customWidth="1"/>
    <col min="13073" max="13073" width="13.140625" style="103" bestFit="1" customWidth="1"/>
    <col min="13074" max="13074" width="12.140625" style="103" customWidth="1"/>
    <col min="13075" max="13075" width="7.5703125" style="103" bestFit="1" customWidth="1"/>
    <col min="13076" max="13076" width="10.28515625" style="103" customWidth="1"/>
    <col min="13077" max="13077" width="7.28515625" style="103" customWidth="1"/>
    <col min="13078" max="13078" width="7.5703125" style="103" customWidth="1"/>
    <col min="13079" max="13079" width="9.28515625" style="103" customWidth="1"/>
    <col min="13080" max="13312" width="9.140625" style="103"/>
    <col min="13313" max="13313" width="24.140625" style="103" customWidth="1"/>
    <col min="13314" max="13314" width="0" style="103" hidden="1" customWidth="1"/>
    <col min="13315" max="13315" width="13.85546875" style="103" bestFit="1" customWidth="1"/>
    <col min="13316" max="13316" width="13.85546875" style="103" customWidth="1"/>
    <col min="13317" max="13317" width="11.85546875" style="103" bestFit="1" customWidth="1"/>
    <col min="13318" max="13318" width="12.140625" style="103" bestFit="1" customWidth="1"/>
    <col min="13319" max="13319" width="13.140625" style="103" bestFit="1" customWidth="1"/>
    <col min="13320" max="13320" width="7.85546875" style="103" bestFit="1" customWidth="1"/>
    <col min="13321" max="13321" width="7.5703125" style="103" bestFit="1" customWidth="1"/>
    <col min="13322" max="13322" width="13.5703125" style="103" bestFit="1" customWidth="1"/>
    <col min="13323" max="13323" width="17.85546875" style="103" customWidth="1"/>
    <col min="13324" max="13324" width="0" style="103" hidden="1" customWidth="1"/>
    <col min="13325" max="13325" width="13.85546875" style="103" bestFit="1" customWidth="1"/>
    <col min="13326" max="13326" width="13.28515625" style="103" customWidth="1"/>
    <col min="13327" max="13327" width="11" style="103" bestFit="1" customWidth="1"/>
    <col min="13328" max="13328" width="13.42578125" style="103" bestFit="1" customWidth="1"/>
    <col min="13329" max="13329" width="13.140625" style="103" bestFit="1" customWidth="1"/>
    <col min="13330" max="13330" width="12.140625" style="103" customWidth="1"/>
    <col min="13331" max="13331" width="7.5703125" style="103" bestFit="1" customWidth="1"/>
    <col min="13332" max="13332" width="10.28515625" style="103" customWidth="1"/>
    <col min="13333" max="13333" width="7.28515625" style="103" customWidth="1"/>
    <col min="13334" max="13334" width="7.5703125" style="103" customWidth="1"/>
    <col min="13335" max="13335" width="9.28515625" style="103" customWidth="1"/>
    <col min="13336" max="13568" width="9.140625" style="103"/>
    <col min="13569" max="13569" width="24.140625" style="103" customWidth="1"/>
    <col min="13570" max="13570" width="0" style="103" hidden="1" customWidth="1"/>
    <col min="13571" max="13571" width="13.85546875" style="103" bestFit="1" customWidth="1"/>
    <col min="13572" max="13572" width="13.85546875" style="103" customWidth="1"/>
    <col min="13573" max="13573" width="11.85546875" style="103" bestFit="1" customWidth="1"/>
    <col min="13574" max="13574" width="12.140625" style="103" bestFit="1" customWidth="1"/>
    <col min="13575" max="13575" width="13.140625" style="103" bestFit="1" customWidth="1"/>
    <col min="13576" max="13576" width="7.85546875" style="103" bestFit="1" customWidth="1"/>
    <col min="13577" max="13577" width="7.5703125" style="103" bestFit="1" customWidth="1"/>
    <col min="13578" max="13578" width="13.5703125" style="103" bestFit="1" customWidth="1"/>
    <col min="13579" max="13579" width="17.85546875" style="103" customWidth="1"/>
    <col min="13580" max="13580" width="0" style="103" hidden="1" customWidth="1"/>
    <col min="13581" max="13581" width="13.85546875" style="103" bestFit="1" customWidth="1"/>
    <col min="13582" max="13582" width="13.28515625" style="103" customWidth="1"/>
    <col min="13583" max="13583" width="11" style="103" bestFit="1" customWidth="1"/>
    <col min="13584" max="13584" width="13.42578125" style="103" bestFit="1" customWidth="1"/>
    <col min="13585" max="13585" width="13.140625" style="103" bestFit="1" customWidth="1"/>
    <col min="13586" max="13586" width="12.140625" style="103" customWidth="1"/>
    <col min="13587" max="13587" width="7.5703125" style="103" bestFit="1" customWidth="1"/>
    <col min="13588" max="13588" width="10.28515625" style="103" customWidth="1"/>
    <col min="13589" max="13589" width="7.28515625" style="103" customWidth="1"/>
    <col min="13590" max="13590" width="7.5703125" style="103" customWidth="1"/>
    <col min="13591" max="13591" width="9.28515625" style="103" customWidth="1"/>
    <col min="13592" max="13824" width="9.140625" style="103"/>
    <col min="13825" max="13825" width="24.140625" style="103" customWidth="1"/>
    <col min="13826" max="13826" width="0" style="103" hidden="1" customWidth="1"/>
    <col min="13827" max="13827" width="13.85546875" style="103" bestFit="1" customWidth="1"/>
    <col min="13828" max="13828" width="13.85546875" style="103" customWidth="1"/>
    <col min="13829" max="13829" width="11.85546875" style="103" bestFit="1" customWidth="1"/>
    <col min="13830" max="13830" width="12.140625" style="103" bestFit="1" customWidth="1"/>
    <col min="13831" max="13831" width="13.140625" style="103" bestFit="1" customWidth="1"/>
    <col min="13832" max="13832" width="7.85546875" style="103" bestFit="1" customWidth="1"/>
    <col min="13833" max="13833" width="7.5703125" style="103" bestFit="1" customWidth="1"/>
    <col min="13834" max="13834" width="13.5703125" style="103" bestFit="1" customWidth="1"/>
    <col min="13835" max="13835" width="17.85546875" style="103" customWidth="1"/>
    <col min="13836" max="13836" width="0" style="103" hidden="1" customWidth="1"/>
    <col min="13837" max="13837" width="13.85546875" style="103" bestFit="1" customWidth="1"/>
    <col min="13838" max="13838" width="13.28515625" style="103" customWidth="1"/>
    <col min="13839" max="13839" width="11" style="103" bestFit="1" customWidth="1"/>
    <col min="13840" max="13840" width="13.42578125" style="103" bestFit="1" customWidth="1"/>
    <col min="13841" max="13841" width="13.140625" style="103" bestFit="1" customWidth="1"/>
    <col min="13842" max="13842" width="12.140625" style="103" customWidth="1"/>
    <col min="13843" max="13843" width="7.5703125" style="103" bestFit="1" customWidth="1"/>
    <col min="13844" max="13844" width="10.28515625" style="103" customWidth="1"/>
    <col min="13845" max="13845" width="7.28515625" style="103" customWidth="1"/>
    <col min="13846" max="13846" width="7.5703125" style="103" customWidth="1"/>
    <col min="13847" max="13847" width="9.28515625" style="103" customWidth="1"/>
    <col min="13848" max="14080" width="9.140625" style="103"/>
    <col min="14081" max="14081" width="24.140625" style="103" customWidth="1"/>
    <col min="14082" max="14082" width="0" style="103" hidden="1" customWidth="1"/>
    <col min="14083" max="14083" width="13.85546875" style="103" bestFit="1" customWidth="1"/>
    <col min="14084" max="14084" width="13.85546875" style="103" customWidth="1"/>
    <col min="14085" max="14085" width="11.85546875" style="103" bestFit="1" customWidth="1"/>
    <col min="14086" max="14086" width="12.140625" style="103" bestFit="1" customWidth="1"/>
    <col min="14087" max="14087" width="13.140625" style="103" bestFit="1" customWidth="1"/>
    <col min="14088" max="14088" width="7.85546875" style="103" bestFit="1" customWidth="1"/>
    <col min="14089" max="14089" width="7.5703125" style="103" bestFit="1" customWidth="1"/>
    <col min="14090" max="14090" width="13.5703125" style="103" bestFit="1" customWidth="1"/>
    <col min="14091" max="14091" width="17.85546875" style="103" customWidth="1"/>
    <col min="14092" max="14092" width="0" style="103" hidden="1" customWidth="1"/>
    <col min="14093" max="14093" width="13.85546875" style="103" bestFit="1" customWidth="1"/>
    <col min="14094" max="14094" width="13.28515625" style="103" customWidth="1"/>
    <col min="14095" max="14095" width="11" style="103" bestFit="1" customWidth="1"/>
    <col min="14096" max="14096" width="13.42578125" style="103" bestFit="1" customWidth="1"/>
    <col min="14097" max="14097" width="13.140625" style="103" bestFit="1" customWidth="1"/>
    <col min="14098" max="14098" width="12.140625" style="103" customWidth="1"/>
    <col min="14099" max="14099" width="7.5703125" style="103" bestFit="1" customWidth="1"/>
    <col min="14100" max="14100" width="10.28515625" style="103" customWidth="1"/>
    <col min="14101" max="14101" width="7.28515625" style="103" customWidth="1"/>
    <col min="14102" max="14102" width="7.5703125" style="103" customWidth="1"/>
    <col min="14103" max="14103" width="9.28515625" style="103" customWidth="1"/>
    <col min="14104" max="14336" width="9.140625" style="103"/>
    <col min="14337" max="14337" width="24.140625" style="103" customWidth="1"/>
    <col min="14338" max="14338" width="0" style="103" hidden="1" customWidth="1"/>
    <col min="14339" max="14339" width="13.85546875" style="103" bestFit="1" customWidth="1"/>
    <col min="14340" max="14340" width="13.85546875" style="103" customWidth="1"/>
    <col min="14341" max="14341" width="11.85546875" style="103" bestFit="1" customWidth="1"/>
    <col min="14342" max="14342" width="12.140625" style="103" bestFit="1" customWidth="1"/>
    <col min="14343" max="14343" width="13.140625" style="103" bestFit="1" customWidth="1"/>
    <col min="14344" max="14344" width="7.85546875" style="103" bestFit="1" customWidth="1"/>
    <col min="14345" max="14345" width="7.5703125" style="103" bestFit="1" customWidth="1"/>
    <col min="14346" max="14346" width="13.5703125" style="103" bestFit="1" customWidth="1"/>
    <col min="14347" max="14347" width="17.85546875" style="103" customWidth="1"/>
    <col min="14348" max="14348" width="0" style="103" hidden="1" customWidth="1"/>
    <col min="14349" max="14349" width="13.85546875" style="103" bestFit="1" customWidth="1"/>
    <col min="14350" max="14350" width="13.28515625" style="103" customWidth="1"/>
    <col min="14351" max="14351" width="11" style="103" bestFit="1" customWidth="1"/>
    <col min="14352" max="14352" width="13.42578125" style="103" bestFit="1" customWidth="1"/>
    <col min="14353" max="14353" width="13.140625" style="103" bestFit="1" customWidth="1"/>
    <col min="14354" max="14354" width="12.140625" style="103" customWidth="1"/>
    <col min="14355" max="14355" width="7.5703125" style="103" bestFit="1" customWidth="1"/>
    <col min="14356" max="14356" width="10.28515625" style="103" customWidth="1"/>
    <col min="14357" max="14357" width="7.28515625" style="103" customWidth="1"/>
    <col min="14358" max="14358" width="7.5703125" style="103" customWidth="1"/>
    <col min="14359" max="14359" width="9.28515625" style="103" customWidth="1"/>
    <col min="14360" max="14592" width="9.140625" style="103"/>
    <col min="14593" max="14593" width="24.140625" style="103" customWidth="1"/>
    <col min="14594" max="14594" width="0" style="103" hidden="1" customWidth="1"/>
    <col min="14595" max="14595" width="13.85546875" style="103" bestFit="1" customWidth="1"/>
    <col min="14596" max="14596" width="13.85546875" style="103" customWidth="1"/>
    <col min="14597" max="14597" width="11.85546875" style="103" bestFit="1" customWidth="1"/>
    <col min="14598" max="14598" width="12.140625" style="103" bestFit="1" customWidth="1"/>
    <col min="14599" max="14599" width="13.140625" style="103" bestFit="1" customWidth="1"/>
    <col min="14600" max="14600" width="7.85546875" style="103" bestFit="1" customWidth="1"/>
    <col min="14601" max="14601" width="7.5703125" style="103" bestFit="1" customWidth="1"/>
    <col min="14602" max="14602" width="13.5703125" style="103" bestFit="1" customWidth="1"/>
    <col min="14603" max="14603" width="17.85546875" style="103" customWidth="1"/>
    <col min="14604" max="14604" width="0" style="103" hidden="1" customWidth="1"/>
    <col min="14605" max="14605" width="13.85546875" style="103" bestFit="1" customWidth="1"/>
    <col min="14606" max="14606" width="13.28515625" style="103" customWidth="1"/>
    <col min="14607" max="14607" width="11" style="103" bestFit="1" customWidth="1"/>
    <col min="14608" max="14608" width="13.42578125" style="103" bestFit="1" customWidth="1"/>
    <col min="14609" max="14609" width="13.140625" style="103" bestFit="1" customWidth="1"/>
    <col min="14610" max="14610" width="12.140625" style="103" customWidth="1"/>
    <col min="14611" max="14611" width="7.5703125" style="103" bestFit="1" customWidth="1"/>
    <col min="14612" max="14612" width="10.28515625" style="103" customWidth="1"/>
    <col min="14613" max="14613" width="7.28515625" style="103" customWidth="1"/>
    <col min="14614" max="14614" width="7.5703125" style="103" customWidth="1"/>
    <col min="14615" max="14615" width="9.28515625" style="103" customWidth="1"/>
    <col min="14616" max="14848" width="9.140625" style="103"/>
    <col min="14849" max="14849" width="24.140625" style="103" customWidth="1"/>
    <col min="14850" max="14850" width="0" style="103" hidden="1" customWidth="1"/>
    <col min="14851" max="14851" width="13.85546875" style="103" bestFit="1" customWidth="1"/>
    <col min="14852" max="14852" width="13.85546875" style="103" customWidth="1"/>
    <col min="14853" max="14853" width="11.85546875" style="103" bestFit="1" customWidth="1"/>
    <col min="14854" max="14854" width="12.140625" style="103" bestFit="1" customWidth="1"/>
    <col min="14855" max="14855" width="13.140625" style="103" bestFit="1" customWidth="1"/>
    <col min="14856" max="14856" width="7.85546875" style="103" bestFit="1" customWidth="1"/>
    <col min="14857" max="14857" width="7.5703125" style="103" bestFit="1" customWidth="1"/>
    <col min="14858" max="14858" width="13.5703125" style="103" bestFit="1" customWidth="1"/>
    <col min="14859" max="14859" width="17.85546875" style="103" customWidth="1"/>
    <col min="14860" max="14860" width="0" style="103" hidden="1" customWidth="1"/>
    <col min="14861" max="14861" width="13.85546875" style="103" bestFit="1" customWidth="1"/>
    <col min="14862" max="14862" width="13.28515625" style="103" customWidth="1"/>
    <col min="14863" max="14863" width="11" style="103" bestFit="1" customWidth="1"/>
    <col min="14864" max="14864" width="13.42578125" style="103" bestFit="1" customWidth="1"/>
    <col min="14865" max="14865" width="13.140625" style="103" bestFit="1" customWidth="1"/>
    <col min="14866" max="14866" width="12.140625" style="103" customWidth="1"/>
    <col min="14867" max="14867" width="7.5703125" style="103" bestFit="1" customWidth="1"/>
    <col min="14868" max="14868" width="10.28515625" style="103" customWidth="1"/>
    <col min="14869" max="14869" width="7.28515625" style="103" customWidth="1"/>
    <col min="14870" max="14870" width="7.5703125" style="103" customWidth="1"/>
    <col min="14871" max="14871" width="9.28515625" style="103" customWidth="1"/>
    <col min="14872" max="15104" width="9.140625" style="103"/>
    <col min="15105" max="15105" width="24.140625" style="103" customWidth="1"/>
    <col min="15106" max="15106" width="0" style="103" hidden="1" customWidth="1"/>
    <col min="15107" max="15107" width="13.85546875" style="103" bestFit="1" customWidth="1"/>
    <col min="15108" max="15108" width="13.85546875" style="103" customWidth="1"/>
    <col min="15109" max="15109" width="11.85546875" style="103" bestFit="1" customWidth="1"/>
    <col min="15110" max="15110" width="12.140625" style="103" bestFit="1" customWidth="1"/>
    <col min="15111" max="15111" width="13.140625" style="103" bestFit="1" customWidth="1"/>
    <col min="15112" max="15112" width="7.85546875" style="103" bestFit="1" customWidth="1"/>
    <col min="15113" max="15113" width="7.5703125" style="103" bestFit="1" customWidth="1"/>
    <col min="15114" max="15114" width="13.5703125" style="103" bestFit="1" customWidth="1"/>
    <col min="15115" max="15115" width="17.85546875" style="103" customWidth="1"/>
    <col min="15116" max="15116" width="0" style="103" hidden="1" customWidth="1"/>
    <col min="15117" max="15117" width="13.85546875" style="103" bestFit="1" customWidth="1"/>
    <col min="15118" max="15118" width="13.28515625" style="103" customWidth="1"/>
    <col min="15119" max="15119" width="11" style="103" bestFit="1" customWidth="1"/>
    <col min="15120" max="15120" width="13.42578125" style="103" bestFit="1" customWidth="1"/>
    <col min="15121" max="15121" width="13.140625" style="103" bestFit="1" customWidth="1"/>
    <col min="15122" max="15122" width="12.140625" style="103" customWidth="1"/>
    <col min="15123" max="15123" width="7.5703125" style="103" bestFit="1" customWidth="1"/>
    <col min="15124" max="15124" width="10.28515625" style="103" customWidth="1"/>
    <col min="15125" max="15125" width="7.28515625" style="103" customWidth="1"/>
    <col min="15126" max="15126" width="7.5703125" style="103" customWidth="1"/>
    <col min="15127" max="15127" width="9.28515625" style="103" customWidth="1"/>
    <col min="15128" max="15360" width="9.140625" style="103"/>
    <col min="15361" max="15361" width="24.140625" style="103" customWidth="1"/>
    <col min="15362" max="15362" width="0" style="103" hidden="1" customWidth="1"/>
    <col min="15363" max="15363" width="13.85546875" style="103" bestFit="1" customWidth="1"/>
    <col min="15364" max="15364" width="13.85546875" style="103" customWidth="1"/>
    <col min="15365" max="15365" width="11.85546875" style="103" bestFit="1" customWidth="1"/>
    <col min="15366" max="15366" width="12.140625" style="103" bestFit="1" customWidth="1"/>
    <col min="15367" max="15367" width="13.140625" style="103" bestFit="1" customWidth="1"/>
    <col min="15368" max="15368" width="7.85546875" style="103" bestFit="1" customWidth="1"/>
    <col min="15369" max="15369" width="7.5703125" style="103" bestFit="1" customWidth="1"/>
    <col min="15370" max="15370" width="13.5703125" style="103" bestFit="1" customWidth="1"/>
    <col min="15371" max="15371" width="17.85546875" style="103" customWidth="1"/>
    <col min="15372" max="15372" width="0" style="103" hidden="1" customWidth="1"/>
    <col min="15373" max="15373" width="13.85546875" style="103" bestFit="1" customWidth="1"/>
    <col min="15374" max="15374" width="13.28515625" style="103" customWidth="1"/>
    <col min="15375" max="15375" width="11" style="103" bestFit="1" customWidth="1"/>
    <col min="15376" max="15376" width="13.42578125" style="103" bestFit="1" customWidth="1"/>
    <col min="15377" max="15377" width="13.140625" style="103" bestFit="1" customWidth="1"/>
    <col min="15378" max="15378" width="12.140625" style="103" customWidth="1"/>
    <col min="15379" max="15379" width="7.5703125" style="103" bestFit="1" customWidth="1"/>
    <col min="15380" max="15380" width="10.28515625" style="103" customWidth="1"/>
    <col min="15381" max="15381" width="7.28515625" style="103" customWidth="1"/>
    <col min="15382" max="15382" width="7.5703125" style="103" customWidth="1"/>
    <col min="15383" max="15383" width="9.28515625" style="103" customWidth="1"/>
    <col min="15384" max="15616" width="9.140625" style="103"/>
    <col min="15617" max="15617" width="24.140625" style="103" customWidth="1"/>
    <col min="15618" max="15618" width="0" style="103" hidden="1" customWidth="1"/>
    <col min="15619" max="15619" width="13.85546875" style="103" bestFit="1" customWidth="1"/>
    <col min="15620" max="15620" width="13.85546875" style="103" customWidth="1"/>
    <col min="15621" max="15621" width="11.85546875" style="103" bestFit="1" customWidth="1"/>
    <col min="15622" max="15622" width="12.140625" style="103" bestFit="1" customWidth="1"/>
    <col min="15623" max="15623" width="13.140625" style="103" bestFit="1" customWidth="1"/>
    <col min="15624" max="15624" width="7.85546875" style="103" bestFit="1" customWidth="1"/>
    <col min="15625" max="15625" width="7.5703125" style="103" bestFit="1" customWidth="1"/>
    <col min="15626" max="15626" width="13.5703125" style="103" bestFit="1" customWidth="1"/>
    <col min="15627" max="15627" width="17.85546875" style="103" customWidth="1"/>
    <col min="15628" max="15628" width="0" style="103" hidden="1" customWidth="1"/>
    <col min="15629" max="15629" width="13.85546875" style="103" bestFit="1" customWidth="1"/>
    <col min="15630" max="15630" width="13.28515625" style="103" customWidth="1"/>
    <col min="15631" max="15631" width="11" style="103" bestFit="1" customWidth="1"/>
    <col min="15632" max="15632" width="13.42578125" style="103" bestFit="1" customWidth="1"/>
    <col min="15633" max="15633" width="13.140625" style="103" bestFit="1" customWidth="1"/>
    <col min="15634" max="15634" width="12.140625" style="103" customWidth="1"/>
    <col min="15635" max="15635" width="7.5703125" style="103" bestFit="1" customWidth="1"/>
    <col min="15636" max="15636" width="10.28515625" style="103" customWidth="1"/>
    <col min="15637" max="15637" width="7.28515625" style="103" customWidth="1"/>
    <col min="15638" max="15638" width="7.5703125" style="103" customWidth="1"/>
    <col min="15639" max="15639" width="9.28515625" style="103" customWidth="1"/>
    <col min="15640" max="15872" width="9.140625" style="103"/>
    <col min="15873" max="15873" width="24.140625" style="103" customWidth="1"/>
    <col min="15874" max="15874" width="0" style="103" hidden="1" customWidth="1"/>
    <col min="15875" max="15875" width="13.85546875" style="103" bestFit="1" customWidth="1"/>
    <col min="15876" max="15876" width="13.85546875" style="103" customWidth="1"/>
    <col min="15877" max="15877" width="11.85546875" style="103" bestFit="1" customWidth="1"/>
    <col min="15878" max="15878" width="12.140625" style="103" bestFit="1" customWidth="1"/>
    <col min="15879" max="15879" width="13.140625" style="103" bestFit="1" customWidth="1"/>
    <col min="15880" max="15880" width="7.85546875" style="103" bestFit="1" customWidth="1"/>
    <col min="15881" max="15881" width="7.5703125" style="103" bestFit="1" customWidth="1"/>
    <col min="15882" max="15882" width="13.5703125" style="103" bestFit="1" customWidth="1"/>
    <col min="15883" max="15883" width="17.85546875" style="103" customWidth="1"/>
    <col min="15884" max="15884" width="0" style="103" hidden="1" customWidth="1"/>
    <col min="15885" max="15885" width="13.85546875" style="103" bestFit="1" customWidth="1"/>
    <col min="15886" max="15886" width="13.28515625" style="103" customWidth="1"/>
    <col min="15887" max="15887" width="11" style="103" bestFit="1" customWidth="1"/>
    <col min="15888" max="15888" width="13.42578125" style="103" bestFit="1" customWidth="1"/>
    <col min="15889" max="15889" width="13.140625" style="103" bestFit="1" customWidth="1"/>
    <col min="15890" max="15890" width="12.140625" style="103" customWidth="1"/>
    <col min="15891" max="15891" width="7.5703125" style="103" bestFit="1" customWidth="1"/>
    <col min="15892" max="15892" width="10.28515625" style="103" customWidth="1"/>
    <col min="15893" max="15893" width="7.28515625" style="103" customWidth="1"/>
    <col min="15894" max="15894" width="7.5703125" style="103" customWidth="1"/>
    <col min="15895" max="15895" width="9.28515625" style="103" customWidth="1"/>
    <col min="15896" max="16128" width="9.140625" style="103"/>
    <col min="16129" max="16129" width="24.140625" style="103" customWidth="1"/>
    <col min="16130" max="16130" width="0" style="103" hidden="1" customWidth="1"/>
    <col min="16131" max="16131" width="13.85546875" style="103" bestFit="1" customWidth="1"/>
    <col min="16132" max="16132" width="13.85546875" style="103" customWidth="1"/>
    <col min="16133" max="16133" width="11.85546875" style="103" bestFit="1" customWidth="1"/>
    <col min="16134" max="16134" width="12.140625" style="103" bestFit="1" customWidth="1"/>
    <col min="16135" max="16135" width="13.140625" style="103" bestFit="1" customWidth="1"/>
    <col min="16136" max="16136" width="7.85546875" style="103" bestFit="1" customWidth="1"/>
    <col min="16137" max="16137" width="7.5703125" style="103" bestFit="1" customWidth="1"/>
    <col min="16138" max="16138" width="13.5703125" style="103" bestFit="1" customWidth="1"/>
    <col min="16139" max="16139" width="17.85546875" style="103" customWidth="1"/>
    <col min="16140" max="16140" width="0" style="103" hidden="1" customWidth="1"/>
    <col min="16141" max="16141" width="13.85546875" style="103" bestFit="1" customWidth="1"/>
    <col min="16142" max="16142" width="13.28515625" style="103" customWidth="1"/>
    <col min="16143" max="16143" width="11" style="103" bestFit="1" customWidth="1"/>
    <col min="16144" max="16144" width="13.42578125" style="103" bestFit="1" customWidth="1"/>
    <col min="16145" max="16145" width="13.140625" style="103" bestFit="1" customWidth="1"/>
    <col min="16146" max="16146" width="12.140625" style="103" customWidth="1"/>
    <col min="16147" max="16147" width="7.5703125" style="103" bestFit="1" customWidth="1"/>
    <col min="16148" max="16148" width="10.28515625" style="103" customWidth="1"/>
    <col min="16149" max="16149" width="7.28515625" style="103" customWidth="1"/>
    <col min="16150" max="16150" width="7.5703125" style="103" customWidth="1"/>
    <col min="16151" max="16151" width="9.28515625" style="103" customWidth="1"/>
    <col min="16152" max="16384" width="9.140625" style="103"/>
  </cols>
  <sheetData>
    <row r="1" spans="1:24" ht="21" x14ac:dyDescent="0.3">
      <c r="A1" s="590" t="s">
        <v>508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158"/>
    </row>
    <row r="2" spans="1:24" s="106" customFormat="1" x14ac:dyDescent="0.3">
      <c r="A2" s="106" t="s">
        <v>488</v>
      </c>
      <c r="H2" s="103"/>
      <c r="I2" s="103"/>
      <c r="J2" s="103"/>
      <c r="R2" s="103"/>
      <c r="S2" s="103"/>
      <c r="T2" s="103"/>
      <c r="V2" s="569" t="s">
        <v>240</v>
      </c>
      <c r="W2" s="569"/>
      <c r="X2" s="159"/>
    </row>
    <row r="3" spans="1:24" x14ac:dyDescent="0.3">
      <c r="A3" s="570" t="s">
        <v>489</v>
      </c>
      <c r="B3" s="570"/>
      <c r="C3" s="570"/>
      <c r="D3" s="570"/>
      <c r="E3" s="570"/>
      <c r="F3" s="570"/>
      <c r="G3" s="570"/>
      <c r="H3" s="570"/>
      <c r="I3" s="570"/>
      <c r="J3" s="570"/>
      <c r="K3" s="570" t="s">
        <v>507</v>
      </c>
      <c r="L3" s="570"/>
      <c r="M3" s="570"/>
      <c r="N3" s="570"/>
      <c r="O3" s="570"/>
      <c r="P3" s="570"/>
      <c r="Q3" s="570"/>
      <c r="R3" s="570"/>
      <c r="S3" s="570"/>
      <c r="T3" s="570"/>
      <c r="U3" s="571" t="s">
        <v>263</v>
      </c>
      <c r="V3" s="572"/>
      <c r="W3" s="573"/>
    </row>
    <row r="4" spans="1:24" s="108" customFormat="1" ht="18.75" customHeight="1" x14ac:dyDescent="0.3">
      <c r="A4" s="574" t="s">
        <v>238</v>
      </c>
      <c r="B4" s="161" t="s">
        <v>180</v>
      </c>
      <c r="C4" s="574" t="s">
        <v>175</v>
      </c>
      <c r="D4" s="574" t="s">
        <v>176</v>
      </c>
      <c r="E4" s="574" t="s">
        <v>0</v>
      </c>
      <c r="F4" s="574" t="s">
        <v>177</v>
      </c>
      <c r="G4" s="574" t="s">
        <v>178</v>
      </c>
      <c r="H4" s="574" t="s">
        <v>181</v>
      </c>
      <c r="I4" s="574" t="s">
        <v>182</v>
      </c>
      <c r="J4" s="576" t="s">
        <v>183</v>
      </c>
      <c r="K4" s="574" t="s">
        <v>238</v>
      </c>
      <c r="L4" s="182"/>
      <c r="M4" s="574" t="s">
        <v>175</v>
      </c>
      <c r="N4" s="574" t="s">
        <v>176</v>
      </c>
      <c r="O4" s="574" t="s">
        <v>0</v>
      </c>
      <c r="P4" s="574" t="s">
        <v>177</v>
      </c>
      <c r="Q4" s="574" t="s">
        <v>178</v>
      </c>
      <c r="R4" s="574" t="s">
        <v>181</v>
      </c>
      <c r="S4" s="574" t="s">
        <v>182</v>
      </c>
      <c r="T4" s="576" t="s">
        <v>183</v>
      </c>
      <c r="U4" s="591" t="s">
        <v>490</v>
      </c>
      <c r="V4" s="591" t="s">
        <v>491</v>
      </c>
      <c r="W4" s="591" t="s">
        <v>572</v>
      </c>
      <c r="X4" s="107"/>
    </row>
    <row r="5" spans="1:24" s="108" customFormat="1" x14ac:dyDescent="0.3">
      <c r="A5" s="575"/>
      <c r="B5" s="161"/>
      <c r="C5" s="575"/>
      <c r="D5" s="575"/>
      <c r="E5" s="575"/>
      <c r="F5" s="575"/>
      <c r="G5" s="575"/>
      <c r="H5" s="575"/>
      <c r="I5" s="575"/>
      <c r="J5" s="577"/>
      <c r="K5" s="575"/>
      <c r="L5" s="183"/>
      <c r="M5" s="575"/>
      <c r="N5" s="575"/>
      <c r="O5" s="575"/>
      <c r="P5" s="575"/>
      <c r="Q5" s="575"/>
      <c r="R5" s="575"/>
      <c r="S5" s="575"/>
      <c r="T5" s="577"/>
      <c r="U5" s="591"/>
      <c r="V5" s="591"/>
      <c r="W5" s="591"/>
      <c r="X5" s="107"/>
    </row>
    <row r="6" spans="1:24" s="108" customFormat="1" x14ac:dyDescent="0.3">
      <c r="A6" s="575"/>
      <c r="B6" s="161"/>
      <c r="C6" s="575"/>
      <c r="D6" s="575"/>
      <c r="E6" s="575"/>
      <c r="F6" s="575"/>
      <c r="G6" s="575"/>
      <c r="H6" s="575"/>
      <c r="I6" s="575"/>
      <c r="J6" s="577"/>
      <c r="K6" s="575"/>
      <c r="L6" s="183"/>
      <c r="M6" s="575"/>
      <c r="N6" s="575"/>
      <c r="O6" s="575"/>
      <c r="P6" s="575"/>
      <c r="Q6" s="575"/>
      <c r="R6" s="575"/>
      <c r="S6" s="575"/>
      <c r="T6" s="577"/>
      <c r="U6" s="591"/>
      <c r="V6" s="591"/>
      <c r="W6" s="591"/>
      <c r="X6" s="107"/>
    </row>
    <row r="7" spans="1:24" s="108" customFormat="1" x14ac:dyDescent="0.3">
      <c r="A7" s="575"/>
      <c r="B7" s="161"/>
      <c r="C7" s="575"/>
      <c r="D7" s="575"/>
      <c r="E7" s="575"/>
      <c r="F7" s="575"/>
      <c r="G7" s="575"/>
      <c r="H7" s="575"/>
      <c r="I7" s="575"/>
      <c r="J7" s="577"/>
      <c r="K7" s="575"/>
      <c r="L7" s="183"/>
      <c r="M7" s="575"/>
      <c r="N7" s="575"/>
      <c r="O7" s="575"/>
      <c r="P7" s="575"/>
      <c r="Q7" s="575"/>
      <c r="R7" s="575"/>
      <c r="S7" s="575"/>
      <c r="T7" s="577"/>
      <c r="U7" s="591"/>
      <c r="V7" s="591"/>
      <c r="W7" s="591"/>
      <c r="X7" s="107"/>
    </row>
    <row r="8" spans="1:24" ht="37.5" x14ac:dyDescent="0.3">
      <c r="A8" s="162" t="s">
        <v>492</v>
      </c>
      <c r="B8" s="166"/>
      <c r="C8" s="163">
        <v>3729425.1831049463</v>
      </c>
      <c r="D8" s="163">
        <v>201852.92205419994</v>
      </c>
      <c r="E8" s="163">
        <v>114448.18165649723</v>
      </c>
      <c r="F8" s="163">
        <v>820698.95457649173</v>
      </c>
      <c r="G8" s="177">
        <f>SUM(C8:F8)</f>
        <v>4866425.2413921347</v>
      </c>
      <c r="H8" s="167">
        <v>43697</v>
      </c>
      <c r="I8" s="168" t="s">
        <v>225</v>
      </c>
      <c r="J8" s="164">
        <f>SUM(G8/H8)</f>
        <v>111.36749070627583</v>
      </c>
      <c r="K8" s="162" t="s">
        <v>492</v>
      </c>
      <c r="L8" s="162"/>
      <c r="M8" s="163">
        <v>31693244.869789552</v>
      </c>
      <c r="N8" s="163">
        <v>15638780.991756925</v>
      </c>
      <c r="O8" s="163">
        <v>5733993.6736655571</v>
      </c>
      <c r="P8" s="163">
        <v>4397191.4615414552</v>
      </c>
      <c r="Q8" s="177">
        <f>SUM(M8:P8)</f>
        <v>57463210.996753499</v>
      </c>
      <c r="R8" s="167">
        <v>39054</v>
      </c>
      <c r="S8" s="168" t="s">
        <v>225</v>
      </c>
      <c r="T8" s="164">
        <f>SUM(Q8/R8)</f>
        <v>1471.3783734509525</v>
      </c>
      <c r="U8" s="169">
        <f>SUM(Q8-G8)*100/G8</f>
        <v>1080.8094884103273</v>
      </c>
      <c r="V8" s="441">
        <f>SUM(R8-H8)*100/H8</f>
        <v>-10.62544339428336</v>
      </c>
      <c r="W8" s="539">
        <f>SUM(T8-J8)*100/J8</f>
        <v>1221.1919960840391</v>
      </c>
    </row>
    <row r="9" spans="1:24" ht="56.25" x14ac:dyDescent="0.3">
      <c r="A9" s="162" t="s">
        <v>493</v>
      </c>
      <c r="B9" s="166">
        <f>'[1]ตาราง 3'!C7</f>
        <v>199990</v>
      </c>
      <c r="C9" s="163">
        <f>767925.57423551+199990</f>
        <v>967915.57423550996</v>
      </c>
      <c r="D9" s="163">
        <v>69644.641665918083</v>
      </c>
      <c r="E9" s="163">
        <v>41083.366293883795</v>
      </c>
      <c r="F9" s="163">
        <v>122708.30419803962</v>
      </c>
      <c r="G9" s="177">
        <f t="shared" ref="G9:G34" si="0">SUM(C9:F9)</f>
        <v>1201351.8863933515</v>
      </c>
      <c r="H9" s="167">
        <v>4013183</v>
      </c>
      <c r="I9" s="168" t="s">
        <v>224</v>
      </c>
      <c r="J9" s="164">
        <f>SUM(G9/H9)</f>
        <v>0.29935138427361807</v>
      </c>
      <c r="K9" s="162" t="s">
        <v>509</v>
      </c>
      <c r="L9" s="162"/>
      <c r="M9" s="163">
        <v>915832.78609903005</v>
      </c>
      <c r="N9" s="163">
        <v>328996.12043159269</v>
      </c>
      <c r="O9" s="163">
        <v>38558.698777977763</v>
      </c>
      <c r="P9" s="163">
        <v>127559.31672350359</v>
      </c>
      <c r="Q9" s="177">
        <f t="shared" ref="Q9:Q13" si="1">SUM(M9:P9)</f>
        <v>1410946.9220321043</v>
      </c>
      <c r="R9" s="167">
        <v>7612219</v>
      </c>
      <c r="S9" s="168" t="s">
        <v>224</v>
      </c>
      <c r="T9" s="164">
        <f>SUM(Q9/R9)</f>
        <v>0.18535290721826372</v>
      </c>
      <c r="U9" s="169">
        <f>SUM(Q9-G9)*100/G9</f>
        <v>17.446598121054304</v>
      </c>
      <c r="V9" s="165">
        <f t="shared" ref="V9" si="2">SUM(R9-H9)*100/H9</f>
        <v>89.680336032520813</v>
      </c>
      <c r="W9" s="441">
        <f t="shared" ref="W9:W13" si="3">SUM(T9-J9)*100/J9</f>
        <v>-38.081827258615775</v>
      </c>
    </row>
    <row r="10" spans="1:24" ht="56.25" x14ac:dyDescent="0.3">
      <c r="A10" s="162" t="s">
        <v>494</v>
      </c>
      <c r="B10" s="166"/>
      <c r="C10" s="163">
        <v>391540.48338544136</v>
      </c>
      <c r="D10" s="163">
        <v>455825.0959577313</v>
      </c>
      <c r="E10" s="163">
        <v>242440.60172548905</v>
      </c>
      <c r="F10" s="163">
        <v>408493.36265654885</v>
      </c>
      <c r="G10" s="177">
        <f t="shared" si="0"/>
        <v>1498299.5437252107</v>
      </c>
      <c r="H10" s="167">
        <v>204232</v>
      </c>
      <c r="I10" s="168" t="s">
        <v>224</v>
      </c>
      <c r="J10" s="164">
        <f>SUM(G10/H10)</f>
        <v>7.3362624061127084</v>
      </c>
      <c r="K10" s="162" t="s">
        <v>510</v>
      </c>
      <c r="L10" s="162"/>
      <c r="M10" s="163">
        <v>282093.76444829634</v>
      </c>
      <c r="N10" s="163">
        <v>34703.081693917833</v>
      </c>
      <c r="O10" s="163">
        <v>120242.74813645009</v>
      </c>
      <c r="P10" s="163">
        <v>27449.612591291556</v>
      </c>
      <c r="Q10" s="177">
        <f t="shared" si="1"/>
        <v>464489.20686995576</v>
      </c>
      <c r="R10" s="167">
        <v>142027</v>
      </c>
      <c r="S10" s="168" t="s">
        <v>224</v>
      </c>
      <c r="T10" s="164">
        <f>SUM(Q10/R10)</f>
        <v>3.2704289104885391</v>
      </c>
      <c r="U10" s="441">
        <f>SUM(Q10-G10)*100/G10</f>
        <v>-68.998908875384174</v>
      </c>
      <c r="V10" s="441">
        <f>SUM(R10-H10)*100/H10</f>
        <v>-30.458008539308238</v>
      </c>
      <c r="W10" s="441">
        <f>SUM(T10-J10)*100/J10</f>
        <v>-55.421047810891302</v>
      </c>
    </row>
    <row r="11" spans="1:24" ht="56.25" x14ac:dyDescent="0.3">
      <c r="A11" s="202"/>
      <c r="B11" s="203"/>
      <c r="C11" s="204"/>
      <c r="D11" s="204"/>
      <c r="E11" s="204"/>
      <c r="F11" s="204"/>
      <c r="G11" s="205"/>
      <c r="H11" s="206"/>
      <c r="I11" s="207"/>
      <c r="J11" s="216"/>
      <c r="K11" s="162" t="s">
        <v>511</v>
      </c>
      <c r="L11" s="162"/>
      <c r="M11" s="163">
        <v>23852819.785921238</v>
      </c>
      <c r="N11" s="163">
        <v>662123.93870129762</v>
      </c>
      <c r="O11" s="163">
        <v>1496804.4064537955</v>
      </c>
      <c r="P11" s="163">
        <v>444260.83601576951</v>
      </c>
      <c r="Q11" s="177">
        <f>SUM(M11:P11)</f>
        <v>26456008.967092101</v>
      </c>
      <c r="R11" s="167">
        <v>1540</v>
      </c>
      <c r="S11" s="168" t="s">
        <v>224</v>
      </c>
      <c r="T11" s="164">
        <f>SUM(Q11/R11)</f>
        <v>17179.226602007857</v>
      </c>
      <c r="U11" s="391"/>
      <c r="V11" s="391"/>
      <c r="W11" s="391"/>
      <c r="X11" s="401"/>
    </row>
    <row r="12" spans="1:24" ht="56.25" x14ac:dyDescent="0.3">
      <c r="A12" s="162" t="s">
        <v>495</v>
      </c>
      <c r="B12" s="166">
        <f>'[1]ตาราง 3'!C10</f>
        <v>1558560</v>
      </c>
      <c r="C12" s="163">
        <f>1655782.95091119+1558560</f>
        <v>3214342.9509111899</v>
      </c>
      <c r="D12" s="163">
        <v>125550.96327013298</v>
      </c>
      <c r="E12" s="163">
        <v>72403.387945918308</v>
      </c>
      <c r="F12" s="163">
        <v>315877.16934469779</v>
      </c>
      <c r="G12" s="177">
        <f t="shared" si="0"/>
        <v>3728174.4714719388</v>
      </c>
      <c r="H12" s="167">
        <v>20081</v>
      </c>
      <c r="I12" s="168" t="s">
        <v>225</v>
      </c>
      <c r="J12" s="164">
        <f>SUM(G12/H12)</f>
        <v>185.65681347900696</v>
      </c>
      <c r="K12" s="162" t="s">
        <v>512</v>
      </c>
      <c r="L12" s="162"/>
      <c r="M12" s="163">
        <v>2490748.9132385398</v>
      </c>
      <c r="N12" s="163">
        <v>867583.60071336268</v>
      </c>
      <c r="O12" s="163">
        <v>624916.68583723914</v>
      </c>
      <c r="P12" s="163">
        <v>355037.71541768807</v>
      </c>
      <c r="Q12" s="177">
        <f t="shared" si="1"/>
        <v>4338286.9152068291</v>
      </c>
      <c r="R12" s="167">
        <v>29239</v>
      </c>
      <c r="S12" s="168" t="s">
        <v>225</v>
      </c>
      <c r="T12" s="164">
        <f t="shared" ref="T12:T25" si="4">SUM(Q12/R12)</f>
        <v>148.37329988053042</v>
      </c>
      <c r="U12" s="391">
        <f t="shared" ref="U12:U13" si="5">SUM(Q12-G12)*100/G12</f>
        <v>16.36491125625912</v>
      </c>
      <c r="V12" s="391">
        <f t="shared" ref="V12:V13" si="6">SUM(R12-H12)*100/H12</f>
        <v>45.605298540909317</v>
      </c>
      <c r="W12" s="441">
        <f t="shared" si="3"/>
        <v>-20.081952770719262</v>
      </c>
    </row>
    <row r="13" spans="1:24" ht="56.25" x14ac:dyDescent="0.3">
      <c r="A13" s="162" t="s">
        <v>496</v>
      </c>
      <c r="B13" s="166">
        <f>'[1]ตาราง 3'!C12</f>
        <v>13500000</v>
      </c>
      <c r="C13" s="163">
        <f>92031834.7074035+13500000</f>
        <v>105531834.7074035</v>
      </c>
      <c r="D13" s="163">
        <v>22489339.334952988</v>
      </c>
      <c r="E13" s="163">
        <v>16729088.99367702</v>
      </c>
      <c r="F13" s="163">
        <v>32476081.688974675</v>
      </c>
      <c r="G13" s="177">
        <f t="shared" si="0"/>
        <v>177226344.72500819</v>
      </c>
      <c r="H13" s="167">
        <v>79113</v>
      </c>
      <c r="I13" s="168" t="s">
        <v>225</v>
      </c>
      <c r="J13" s="164">
        <f>SUM(G13/H13)</f>
        <v>2240.1671624765613</v>
      </c>
      <c r="K13" s="162" t="s">
        <v>513</v>
      </c>
      <c r="L13" s="162"/>
      <c r="M13" s="163">
        <v>37142638.671689302</v>
      </c>
      <c r="N13" s="163">
        <v>100765215.1873676</v>
      </c>
      <c r="O13" s="163">
        <v>42629970.130545594</v>
      </c>
      <c r="P13" s="163">
        <v>31559245.902469516</v>
      </c>
      <c r="Q13" s="177">
        <f t="shared" si="1"/>
        <v>212097069.89207199</v>
      </c>
      <c r="R13" s="167">
        <v>74758</v>
      </c>
      <c r="S13" s="168" t="s">
        <v>225</v>
      </c>
      <c r="T13" s="164">
        <f t="shared" si="4"/>
        <v>2837.1153574476575</v>
      </c>
      <c r="U13" s="391">
        <f t="shared" si="5"/>
        <v>19.675813559869262</v>
      </c>
      <c r="V13" s="441">
        <f t="shared" si="6"/>
        <v>-5.5047842958805759</v>
      </c>
      <c r="W13" s="391">
        <f t="shared" si="3"/>
        <v>26.647484391796681</v>
      </c>
    </row>
    <row r="14" spans="1:24" ht="56.25" x14ac:dyDescent="0.3">
      <c r="A14" s="202"/>
      <c r="B14" s="203"/>
      <c r="C14" s="204"/>
      <c r="D14" s="204"/>
      <c r="E14" s="204"/>
      <c r="F14" s="204"/>
      <c r="G14" s="205"/>
      <c r="H14" s="206"/>
      <c r="I14" s="207"/>
      <c r="J14" s="216"/>
      <c r="K14" s="162" t="s">
        <v>514</v>
      </c>
      <c r="L14" s="162"/>
      <c r="M14" s="163">
        <v>8284640.5435093278</v>
      </c>
      <c r="N14" s="163">
        <v>3371648.1556397756</v>
      </c>
      <c r="O14" s="163">
        <v>1833123.3316467949</v>
      </c>
      <c r="P14" s="163">
        <v>930424.21880528471</v>
      </c>
      <c r="Q14" s="177">
        <f>SUM(M14:P14)</f>
        <v>14419836.249601183</v>
      </c>
      <c r="R14" s="167">
        <v>74758</v>
      </c>
      <c r="S14" s="157" t="s">
        <v>270</v>
      </c>
      <c r="T14" s="164">
        <f t="shared" si="4"/>
        <v>192.88686494557351</v>
      </c>
      <c r="U14" s="391"/>
      <c r="V14" s="165"/>
      <c r="W14" s="165"/>
      <c r="X14" s="401"/>
    </row>
    <row r="15" spans="1:24" ht="37.5" x14ac:dyDescent="0.3">
      <c r="A15" s="217"/>
      <c r="B15" s="203"/>
      <c r="C15" s="218"/>
      <c r="D15" s="218"/>
      <c r="E15" s="218"/>
      <c r="F15" s="218"/>
      <c r="G15" s="219"/>
      <c r="H15" s="220"/>
      <c r="I15" s="221"/>
      <c r="J15" s="222"/>
      <c r="K15" s="184" t="s">
        <v>515</v>
      </c>
      <c r="L15" s="184"/>
      <c r="M15" s="185">
        <v>7415497.5666968105</v>
      </c>
      <c r="N15" s="185">
        <v>900618.76374110475</v>
      </c>
      <c r="O15" s="185">
        <v>3120555.0023086974</v>
      </c>
      <c r="P15" s="185">
        <v>712375.81651067198</v>
      </c>
      <c r="Q15" s="187">
        <f>SUM(M15:P15)</f>
        <v>12149047.149257286</v>
      </c>
      <c r="R15" s="188">
        <v>22206</v>
      </c>
      <c r="S15" s="157" t="s">
        <v>270</v>
      </c>
      <c r="T15" s="190">
        <f t="shared" si="4"/>
        <v>547.10650946848989</v>
      </c>
      <c r="U15" s="391"/>
      <c r="V15" s="193"/>
      <c r="W15" s="193"/>
      <c r="X15" s="401"/>
    </row>
    <row r="16" spans="1:24" x14ac:dyDescent="0.3">
      <c r="A16" s="217"/>
      <c r="B16" s="203"/>
      <c r="C16" s="218"/>
      <c r="D16" s="218"/>
      <c r="E16" s="218"/>
      <c r="F16" s="218"/>
      <c r="G16" s="219"/>
      <c r="H16" s="220"/>
      <c r="I16" s="221"/>
      <c r="J16" s="222"/>
      <c r="K16" s="184" t="s">
        <v>516</v>
      </c>
      <c r="L16" s="184"/>
      <c r="M16" s="185">
        <v>45865872.898430608</v>
      </c>
      <c r="N16" s="185">
        <v>142298.10412007602</v>
      </c>
      <c r="O16" s="185">
        <v>493048.86652194517</v>
      </c>
      <c r="P16" s="185">
        <v>112555.64750769493</v>
      </c>
      <c r="Q16" s="187">
        <f>SUM(M16:P16)</f>
        <v>46613775.516580328</v>
      </c>
      <c r="R16" s="188">
        <v>14</v>
      </c>
      <c r="S16" s="189" t="s">
        <v>222</v>
      </c>
      <c r="T16" s="190">
        <f t="shared" si="4"/>
        <v>3329555.3940414521</v>
      </c>
      <c r="U16" s="391"/>
      <c r="V16" s="193"/>
      <c r="W16" s="193"/>
      <c r="X16" s="401"/>
    </row>
    <row r="17" spans="1:24" ht="37.5" x14ac:dyDescent="0.3">
      <c r="A17" s="184" t="s">
        <v>497</v>
      </c>
      <c r="B17" s="170">
        <f>'[1]ตาราง 3'!C81</f>
        <v>341410280.10000002</v>
      </c>
      <c r="C17" s="186">
        <f>29740733.4533943+341410280.1</f>
        <v>371151013.55339432</v>
      </c>
      <c r="D17" s="186">
        <v>1461167.8641523558</v>
      </c>
      <c r="E17" s="186">
        <v>1109272.1713854757</v>
      </c>
      <c r="F17" s="186">
        <v>3008454.1440505739</v>
      </c>
      <c r="G17" s="187">
        <f t="shared" si="0"/>
        <v>376729907.73298275</v>
      </c>
      <c r="H17" s="188">
        <v>216368</v>
      </c>
      <c r="I17" s="189" t="s">
        <v>224</v>
      </c>
      <c r="J17" s="193">
        <f>SUM(G17/H17)</f>
        <v>1741.1535334845391</v>
      </c>
      <c r="K17" s="184" t="s">
        <v>517</v>
      </c>
      <c r="L17" s="426"/>
      <c r="M17" s="185">
        <v>330320422.05062366</v>
      </c>
      <c r="N17" s="185">
        <v>7128928.6219885265</v>
      </c>
      <c r="O17" s="185">
        <v>1077235.1671587301</v>
      </c>
      <c r="P17" s="185">
        <v>2058453.725001449</v>
      </c>
      <c r="Q17" s="442">
        <f t="shared" ref="Q17" si="7">SUM(M17:P17)</f>
        <v>340585039.56477237</v>
      </c>
      <c r="R17" s="425">
        <v>208050</v>
      </c>
      <c r="S17" s="443" t="s">
        <v>224</v>
      </c>
      <c r="T17" s="444">
        <f t="shared" si="4"/>
        <v>1637.0345569083026</v>
      </c>
      <c r="U17" s="391">
        <v>-9.59</v>
      </c>
      <c r="V17" s="391">
        <f t="shared" ref="V17" si="8">SUM(R17-H17)*100/H17</f>
        <v>-3.8443762478739925</v>
      </c>
      <c r="W17" s="441">
        <f t="shared" ref="W17" si="9">SUM(T17-J17)*100/J17</f>
        <v>-5.97988486218473</v>
      </c>
      <c r="X17" s="159"/>
    </row>
    <row r="18" spans="1:24" ht="59.25" customHeight="1" x14ac:dyDescent="0.3">
      <c r="A18" s="587" t="s">
        <v>498</v>
      </c>
      <c r="B18" s="166">
        <f>'[1]ตาราง 3'!C17+'[1]ตาราง 3'!C20</f>
        <v>15375370.93</v>
      </c>
      <c r="C18" s="578">
        <f>6153533.43508474+15375370.93</f>
        <v>21528904.365084738</v>
      </c>
      <c r="D18" s="578">
        <v>37808.355488698675</v>
      </c>
      <c r="E18" s="578">
        <v>28156.190895506457</v>
      </c>
      <c r="F18" s="578">
        <v>75131.245976762817</v>
      </c>
      <c r="G18" s="578">
        <f t="shared" si="0"/>
        <v>21670000.157445703</v>
      </c>
      <c r="H18" s="578">
        <v>216368</v>
      </c>
      <c r="I18" s="581" t="s">
        <v>224</v>
      </c>
      <c r="J18" s="584">
        <f>SUM(G18/H18)</f>
        <v>100.15344301119252</v>
      </c>
      <c r="K18" s="162" t="s">
        <v>518</v>
      </c>
      <c r="L18" s="162"/>
      <c r="M18" s="163">
        <v>9592987.98577228</v>
      </c>
      <c r="N18" s="163">
        <v>1475782.1889439707</v>
      </c>
      <c r="O18" s="163">
        <v>341730.01965312613</v>
      </c>
      <c r="P18" s="163">
        <v>468938.26849140693</v>
      </c>
      <c r="Q18" s="177">
        <f t="shared" ref="Q18:Q22" si="10">SUM(M18:P18)</f>
        <v>11879438.462860785</v>
      </c>
      <c r="R18" s="167">
        <v>263905</v>
      </c>
      <c r="S18" s="174" t="s">
        <v>224</v>
      </c>
      <c r="T18" s="164">
        <f t="shared" si="4"/>
        <v>45.014071210703797</v>
      </c>
      <c r="U18" s="169"/>
      <c r="V18" s="165"/>
      <c r="W18" s="165"/>
    </row>
    <row r="19" spans="1:24" ht="37.5" x14ac:dyDescent="0.3">
      <c r="A19" s="588"/>
      <c r="B19" s="166"/>
      <c r="C19" s="579"/>
      <c r="D19" s="579"/>
      <c r="E19" s="579"/>
      <c r="F19" s="579"/>
      <c r="G19" s="579"/>
      <c r="H19" s="579"/>
      <c r="I19" s="582"/>
      <c r="J19" s="585"/>
      <c r="K19" s="184" t="s">
        <v>519</v>
      </c>
      <c r="L19" s="184"/>
      <c r="M19" s="185">
        <v>169956.08276599005</v>
      </c>
      <c r="N19" s="185">
        <v>20497.263050993726</v>
      </c>
      <c r="O19" s="185">
        <v>71020.990592866117</v>
      </c>
      <c r="P19" s="185">
        <v>16213.024966891713</v>
      </c>
      <c r="Q19" s="187">
        <f>SUM(M19:P19)</f>
        <v>277687.36137674161</v>
      </c>
      <c r="R19" s="188">
        <v>7</v>
      </c>
      <c r="S19" s="427" t="s">
        <v>222</v>
      </c>
      <c r="T19" s="190">
        <f>SUM(Q19/R19)</f>
        <v>39669.623053820229</v>
      </c>
      <c r="U19" s="191"/>
      <c r="V19" s="193"/>
      <c r="W19" s="193"/>
      <c r="X19" s="159"/>
    </row>
    <row r="20" spans="1:24" ht="56.25" x14ac:dyDescent="0.3">
      <c r="A20" s="589"/>
      <c r="B20" s="166"/>
      <c r="C20" s="580"/>
      <c r="D20" s="580"/>
      <c r="E20" s="580"/>
      <c r="F20" s="580"/>
      <c r="G20" s="580"/>
      <c r="H20" s="580"/>
      <c r="I20" s="583"/>
      <c r="J20" s="586"/>
      <c r="K20" s="184" t="s">
        <v>520</v>
      </c>
      <c r="L20" s="184"/>
      <c r="M20" s="185">
        <v>4526128.0372801684</v>
      </c>
      <c r="N20" s="185">
        <v>42990.72857661506</v>
      </c>
      <c r="O20" s="185">
        <v>148958.62546254508</v>
      </c>
      <c r="P20" s="185">
        <v>34005.015890340212</v>
      </c>
      <c r="Q20" s="187">
        <f>SUM(M20:P20)</f>
        <v>4752082.4072096692</v>
      </c>
      <c r="R20" s="188">
        <v>5</v>
      </c>
      <c r="S20" s="427" t="s">
        <v>576</v>
      </c>
      <c r="T20" s="190">
        <f>SUM(Q20/R20)</f>
        <v>950416.48144193389</v>
      </c>
      <c r="U20" s="191"/>
      <c r="V20" s="193"/>
      <c r="W20" s="193"/>
      <c r="X20" s="159"/>
    </row>
    <row r="21" spans="1:24" x14ac:dyDescent="0.3">
      <c r="A21" s="209"/>
      <c r="B21" s="200"/>
      <c r="C21" s="210">
        <f>SUM(C18)</f>
        <v>21528904.365084738</v>
      </c>
      <c r="D21" s="210">
        <f t="shared" ref="D21:F21" si="11">SUM(D18)</f>
        <v>37808.355488698675</v>
      </c>
      <c r="E21" s="210">
        <f t="shared" si="11"/>
        <v>28156.190895506457</v>
      </c>
      <c r="F21" s="210">
        <f t="shared" si="11"/>
        <v>75131.245976762817</v>
      </c>
      <c r="G21" s="211">
        <f>SUM(C21:F21)</f>
        <v>21670000.157445703</v>
      </c>
      <c r="H21" s="212"/>
      <c r="I21" s="213"/>
      <c r="J21" s="214"/>
      <c r="K21" s="531"/>
      <c r="L21" s="531"/>
      <c r="M21" s="532">
        <f>SUM(M18:M20)</f>
        <v>14289072.105818439</v>
      </c>
      <c r="N21" s="532">
        <f t="shared" ref="N21:P21" si="12">SUM(N18:N20)</f>
        <v>1539270.1805715794</v>
      </c>
      <c r="O21" s="532">
        <f t="shared" si="12"/>
        <v>561709.6357085373</v>
      </c>
      <c r="P21" s="532">
        <f t="shared" si="12"/>
        <v>519156.30934863887</v>
      </c>
      <c r="Q21" s="533">
        <f>SUM(M21:P21)</f>
        <v>16909208.231447194</v>
      </c>
      <c r="R21" s="534"/>
      <c r="S21" s="535"/>
      <c r="T21" s="536"/>
      <c r="U21" s="537"/>
      <c r="V21" s="538"/>
      <c r="W21" s="538"/>
    </row>
    <row r="22" spans="1:24" ht="75" x14ac:dyDescent="0.3">
      <c r="A22" s="162" t="s">
        <v>499</v>
      </c>
      <c r="B22" s="170">
        <f>'[1]ตาราง 3'!C27</f>
        <v>6631900</v>
      </c>
      <c r="C22" s="540">
        <f>202836.083902593+6631900</f>
        <v>6834736.0839025928</v>
      </c>
      <c r="D22" s="540">
        <v>198459.33524431314</v>
      </c>
      <c r="E22" s="540">
        <v>105564.80675283479</v>
      </c>
      <c r="F22" s="540">
        <v>178740.43559295617</v>
      </c>
      <c r="G22" s="177">
        <f t="shared" si="0"/>
        <v>7317500.661492696</v>
      </c>
      <c r="H22" s="167">
        <v>153873</v>
      </c>
      <c r="I22" s="168" t="s">
        <v>224</v>
      </c>
      <c r="J22" s="165">
        <f>SUM(G22/H22)</f>
        <v>47.555455872652743</v>
      </c>
      <c r="K22" s="162" t="s">
        <v>521</v>
      </c>
      <c r="L22" s="541"/>
      <c r="M22" s="540">
        <v>2405804.6410329798</v>
      </c>
      <c r="N22" s="540">
        <v>818796.40803352173</v>
      </c>
      <c r="O22" s="540">
        <v>576810.91271512955</v>
      </c>
      <c r="P22" s="540">
        <v>352321.26968249248</v>
      </c>
      <c r="Q22" s="177">
        <f t="shared" si="10"/>
        <v>4153733.2314641238</v>
      </c>
      <c r="R22" s="167">
        <v>160628</v>
      </c>
      <c r="S22" s="445" t="s">
        <v>224</v>
      </c>
      <c r="T22" s="164">
        <f>SUM(Q22/R22)</f>
        <v>25.859334807531212</v>
      </c>
      <c r="U22" s="441">
        <f>SUM(Q22-G22)*100/G22</f>
        <v>-43.235628890031364</v>
      </c>
      <c r="V22" s="391">
        <f>SUM(R22-H22)*100/H22</f>
        <v>4.3899839478011087</v>
      </c>
      <c r="W22" s="441">
        <f>SUM(T22-J22)*100/J22</f>
        <v>-45.622780114275201</v>
      </c>
      <c r="X22" s="159"/>
    </row>
    <row r="23" spans="1:24" ht="37.5" x14ac:dyDescent="0.3">
      <c r="A23" s="162" t="s">
        <v>501</v>
      </c>
      <c r="B23" s="166">
        <f>'[1]ตาราง 3'!C30</f>
        <v>73642991.210000008</v>
      </c>
      <c r="C23" s="163">
        <f>9384528.59475558+73642991.21</f>
        <v>83027519.804755569</v>
      </c>
      <c r="D23" s="163">
        <v>1860260.792412722</v>
      </c>
      <c r="E23" s="163">
        <v>1434154.8633481772</v>
      </c>
      <c r="F23" s="163">
        <v>4385058.8596857721</v>
      </c>
      <c r="G23" s="177">
        <f t="shared" si="0"/>
        <v>90706994.320202246</v>
      </c>
      <c r="H23" s="167">
        <v>82395</v>
      </c>
      <c r="I23" s="168" t="s">
        <v>500</v>
      </c>
      <c r="J23" s="165">
        <f>SUM(G23/H23)</f>
        <v>1100.8798388276259</v>
      </c>
      <c r="K23" s="162" t="s">
        <v>522</v>
      </c>
      <c r="L23" s="162"/>
      <c r="M23" s="163">
        <v>89729251.588707194</v>
      </c>
      <c r="N23" s="163">
        <v>6836983.2052565273</v>
      </c>
      <c r="O23" s="163">
        <v>1912318.0190286979</v>
      </c>
      <c r="P23" s="163">
        <v>4026105.5638824389</v>
      </c>
      <c r="Q23" s="177">
        <f t="shared" ref="Q23:Q34" si="13">SUM(M23:P23)</f>
        <v>102504658.37687485</v>
      </c>
      <c r="R23" s="167">
        <v>83308</v>
      </c>
      <c r="S23" s="445" t="s">
        <v>500</v>
      </c>
      <c r="T23" s="175">
        <f t="shared" si="4"/>
        <v>1230.4299512276714</v>
      </c>
      <c r="U23" s="530">
        <f t="shared" ref="U23:U24" si="14">SUM(Q23-G23)*100/G23</f>
        <v>13.00634437850073</v>
      </c>
      <c r="V23" s="391">
        <f t="shared" ref="V23:V24" si="15">SUM(R23-H23)*100/H23</f>
        <v>1.1080769464166516</v>
      </c>
      <c r="W23" s="165">
        <f t="shared" ref="W23:W24" si="16">SUM(T23-J23)*100/J23</f>
        <v>11.767870373392334</v>
      </c>
      <c r="X23" s="159"/>
    </row>
    <row r="24" spans="1:24" ht="37.5" x14ac:dyDescent="0.3">
      <c r="A24" s="162" t="s">
        <v>502</v>
      </c>
      <c r="B24" s="166">
        <f>'[1]ตาราง 3'!C35+'[1]ตาราง 3'!C38</f>
        <v>99599093.620000005</v>
      </c>
      <c r="C24" s="163">
        <f>240052287.084892+99599093.62</f>
        <v>339651380.70489204</v>
      </c>
      <c r="D24" s="163">
        <v>20492253.129157204</v>
      </c>
      <c r="E24" s="163">
        <v>10964148.394864308</v>
      </c>
      <c r="F24" s="163">
        <v>20885171.722108696</v>
      </c>
      <c r="G24" s="177">
        <f t="shared" si="0"/>
        <v>391992953.95102227</v>
      </c>
      <c r="H24" s="167">
        <v>261112</v>
      </c>
      <c r="I24" s="168" t="s">
        <v>500</v>
      </c>
      <c r="J24" s="165">
        <f>SUM(G24/H24)</f>
        <v>1501.2445002566801</v>
      </c>
      <c r="K24" s="162" t="s">
        <v>523</v>
      </c>
      <c r="L24" s="162"/>
      <c r="M24" s="163">
        <v>336497955.32499701</v>
      </c>
      <c r="N24" s="163">
        <v>22670005.105122328</v>
      </c>
      <c r="O24" s="163">
        <v>172688206.25924194</v>
      </c>
      <c r="P24" s="163">
        <v>9269938.6740601044</v>
      </c>
      <c r="Q24" s="177">
        <f t="shared" si="13"/>
        <v>541126105.36342132</v>
      </c>
      <c r="R24" s="167">
        <v>331941</v>
      </c>
      <c r="S24" s="445" t="s">
        <v>500</v>
      </c>
      <c r="T24" s="446">
        <f t="shared" si="4"/>
        <v>1630.1876097361319</v>
      </c>
      <c r="U24" s="530">
        <f t="shared" si="14"/>
        <v>38.044855120286826</v>
      </c>
      <c r="V24" s="391">
        <f t="shared" si="15"/>
        <v>27.125907656484575</v>
      </c>
      <c r="W24" s="165">
        <f t="shared" si="16"/>
        <v>8.5890812227725277</v>
      </c>
      <c r="X24" s="159"/>
    </row>
    <row r="25" spans="1:24" ht="37.5" x14ac:dyDescent="0.3">
      <c r="A25" s="162" t="s">
        <v>504</v>
      </c>
      <c r="B25" s="166">
        <f>5749984.63+10596400</f>
        <v>16346384.629999999</v>
      </c>
      <c r="C25" s="163">
        <f>85783225.6999903+16346384.63</f>
        <v>102129610.3299903</v>
      </c>
      <c r="D25" s="163">
        <v>1123784.9086050424</v>
      </c>
      <c r="E25" s="163">
        <v>969818.13861835469</v>
      </c>
      <c r="F25" s="163">
        <v>2629873.1043594675</v>
      </c>
      <c r="G25" s="177">
        <f t="shared" si="0"/>
        <v>106853086.48157315</v>
      </c>
      <c r="H25" s="167">
        <v>1885.02</v>
      </c>
      <c r="I25" s="168" t="s">
        <v>503</v>
      </c>
      <c r="J25" s="165">
        <f>SUM(G25/H25)</f>
        <v>56685.386086923827</v>
      </c>
      <c r="K25" s="162" t="s">
        <v>524</v>
      </c>
      <c r="L25" s="162"/>
      <c r="M25" s="163">
        <v>40253688.671626799</v>
      </c>
      <c r="N25" s="163">
        <v>3746910.0488717789</v>
      </c>
      <c r="O25" s="163">
        <v>800403.59796672873</v>
      </c>
      <c r="P25" s="163">
        <v>3208409.6423246586</v>
      </c>
      <c r="Q25" s="177">
        <f t="shared" si="13"/>
        <v>48009411.960789964</v>
      </c>
      <c r="R25" s="167">
        <v>593</v>
      </c>
      <c r="S25" s="168" t="s">
        <v>503</v>
      </c>
      <c r="T25" s="165">
        <f t="shared" si="4"/>
        <v>80960.222530843108</v>
      </c>
      <c r="U25" s="529">
        <f>SUM(Q25-G25)*100/G25</f>
        <v>-55.069700331895227</v>
      </c>
      <c r="V25" s="529">
        <f>SUM(R25-H25)*100/H25</f>
        <v>-68.541447836097234</v>
      </c>
      <c r="W25" s="530">
        <f>SUM(T25-J25)*100/J25</f>
        <v>42.823800135532629</v>
      </c>
    </row>
    <row r="26" spans="1:24" ht="37.5" x14ac:dyDescent="0.3">
      <c r="A26" s="202"/>
      <c r="B26" s="203"/>
      <c r="C26" s="204"/>
      <c r="D26" s="204"/>
      <c r="E26" s="204"/>
      <c r="F26" s="204"/>
      <c r="G26" s="205"/>
      <c r="H26" s="206"/>
      <c r="I26" s="207"/>
      <c r="J26" s="208"/>
      <c r="K26" s="162" t="s">
        <v>525</v>
      </c>
      <c r="L26" s="162"/>
      <c r="M26" s="163">
        <v>18395351.251941901</v>
      </c>
      <c r="N26" s="163">
        <v>11128948.53210495</v>
      </c>
      <c r="O26" s="163">
        <v>3417711.5622555162</v>
      </c>
      <c r="P26" s="163">
        <v>2726771.4284763467</v>
      </c>
      <c r="Q26" s="177">
        <f>SUM(M26:P26)</f>
        <v>35668782.774778716</v>
      </c>
      <c r="R26" s="167">
        <v>2237</v>
      </c>
      <c r="S26" s="168" t="s">
        <v>327</v>
      </c>
      <c r="T26" s="165">
        <f>SUM(Q26/R26)</f>
        <v>15944.918540357048</v>
      </c>
      <c r="U26" s="169"/>
      <c r="V26" s="165"/>
      <c r="W26" s="165"/>
      <c r="X26" s="401"/>
    </row>
    <row r="27" spans="1:24" ht="37.5" x14ac:dyDescent="0.3">
      <c r="A27" s="202"/>
      <c r="B27" s="203"/>
      <c r="C27" s="204"/>
      <c r="D27" s="204"/>
      <c r="E27" s="204"/>
      <c r="F27" s="204"/>
      <c r="G27" s="205"/>
      <c r="H27" s="206"/>
      <c r="I27" s="207"/>
      <c r="J27" s="208"/>
      <c r="K27" s="162" t="s">
        <v>526</v>
      </c>
      <c r="L27" s="162"/>
      <c r="M27" s="163">
        <v>16411807.193575799</v>
      </c>
      <c r="N27" s="163">
        <v>5725535.4811051525</v>
      </c>
      <c r="O27" s="163">
        <v>669523.57562987448</v>
      </c>
      <c r="P27" s="163">
        <v>4927533.4668904385</v>
      </c>
      <c r="Q27" s="177">
        <f>SUM(M27:P27)</f>
        <v>27734399.717201266</v>
      </c>
      <c r="R27" s="167">
        <v>4720</v>
      </c>
      <c r="S27" s="168" t="s">
        <v>500</v>
      </c>
      <c r="T27" s="165">
        <f>SUM(Q27/R27)</f>
        <v>5875.9321434748445</v>
      </c>
      <c r="U27" s="169"/>
      <c r="V27" s="165"/>
      <c r="W27" s="165"/>
      <c r="X27" s="401"/>
    </row>
    <row r="28" spans="1:24" ht="37.5" x14ac:dyDescent="0.3">
      <c r="A28" s="587" t="s">
        <v>505</v>
      </c>
      <c r="B28" s="166"/>
      <c r="C28" s="578">
        <v>106145536.97967155</v>
      </c>
      <c r="D28" s="578">
        <v>956025.66370360344</v>
      </c>
      <c r="E28" s="578">
        <v>1075893.2189306021</v>
      </c>
      <c r="F28" s="578">
        <v>3109743.5636043525</v>
      </c>
      <c r="G28" s="592">
        <f t="shared" si="0"/>
        <v>111287199.42591012</v>
      </c>
      <c r="H28" s="595">
        <v>68</v>
      </c>
      <c r="I28" s="601" t="s">
        <v>222</v>
      </c>
      <c r="J28" s="584">
        <f>SUM(G28/H28)</f>
        <v>1636576.4621457369</v>
      </c>
      <c r="K28" s="162" t="s">
        <v>527</v>
      </c>
      <c r="L28" s="162"/>
      <c r="M28" s="163">
        <v>15948637.51547116</v>
      </c>
      <c r="N28" s="163">
        <v>722808.62155799172</v>
      </c>
      <c r="O28" s="163">
        <v>7791212.496419834</v>
      </c>
      <c r="P28" s="163">
        <v>601154.21534560458</v>
      </c>
      <c r="Q28" s="177">
        <f t="shared" si="13"/>
        <v>25063812.848794594</v>
      </c>
      <c r="R28" s="167">
        <v>28</v>
      </c>
      <c r="S28" s="168" t="s">
        <v>222</v>
      </c>
      <c r="T28" s="165">
        <f t="shared" ref="T28:T36" si="17">SUM(Q28/R28)</f>
        <v>895136.17317123548</v>
      </c>
      <c r="U28" s="169"/>
      <c r="V28" s="165"/>
      <c r="W28" s="165"/>
      <c r="X28" s="401"/>
    </row>
    <row r="29" spans="1:24" ht="93.75" x14ac:dyDescent="0.3">
      <c r="A29" s="588"/>
      <c r="B29" s="166"/>
      <c r="C29" s="579"/>
      <c r="D29" s="579"/>
      <c r="E29" s="579"/>
      <c r="F29" s="579"/>
      <c r="G29" s="593"/>
      <c r="H29" s="596"/>
      <c r="I29" s="602"/>
      <c r="J29" s="585"/>
      <c r="K29" s="162" t="s">
        <v>528</v>
      </c>
      <c r="L29" s="162"/>
      <c r="M29" s="163">
        <v>23084396.060721748</v>
      </c>
      <c r="N29" s="163">
        <v>1274386.8724180516</v>
      </c>
      <c r="O29" s="163">
        <v>15750812.850456843</v>
      </c>
      <c r="P29" s="163">
        <v>1166321.244912979</v>
      </c>
      <c r="Q29" s="177">
        <f>SUM(M29:P29)</f>
        <v>41275917.028509624</v>
      </c>
      <c r="R29" s="167">
        <v>3</v>
      </c>
      <c r="S29" s="168" t="s">
        <v>282</v>
      </c>
      <c r="T29" s="165">
        <f t="shared" si="17"/>
        <v>13758639.009503208</v>
      </c>
      <c r="U29" s="169"/>
      <c r="V29" s="165"/>
      <c r="W29" s="165"/>
      <c r="X29" s="401"/>
    </row>
    <row r="30" spans="1:24" ht="56.25" x14ac:dyDescent="0.3">
      <c r="A30" s="588"/>
      <c r="B30" s="166"/>
      <c r="C30" s="579"/>
      <c r="D30" s="579"/>
      <c r="E30" s="579"/>
      <c r="F30" s="579"/>
      <c r="G30" s="593"/>
      <c r="H30" s="596"/>
      <c r="I30" s="602"/>
      <c r="J30" s="585"/>
      <c r="K30" s="162" t="s">
        <v>529</v>
      </c>
      <c r="L30" s="162"/>
      <c r="M30" s="163">
        <v>43241924.12718527</v>
      </c>
      <c r="N30" s="163">
        <v>1150306.6312008251</v>
      </c>
      <c r="O30" s="163">
        <v>14217240.353634257</v>
      </c>
      <c r="P30" s="163">
        <v>1052762.7764935826</v>
      </c>
      <c r="Q30" s="177">
        <f>SUM(M30:P30)</f>
        <v>59662233.888513938</v>
      </c>
      <c r="R30" s="167">
        <v>4</v>
      </c>
      <c r="S30" s="168" t="s">
        <v>282</v>
      </c>
      <c r="T30" s="165">
        <f t="shared" si="17"/>
        <v>14915558.472128484</v>
      </c>
      <c r="U30" s="169"/>
      <c r="V30" s="165"/>
      <c r="W30" s="165"/>
      <c r="X30" s="401"/>
    </row>
    <row r="31" spans="1:24" ht="56.25" x14ac:dyDescent="0.3">
      <c r="A31" s="588"/>
      <c r="B31" s="166"/>
      <c r="C31" s="579"/>
      <c r="D31" s="579"/>
      <c r="E31" s="579"/>
      <c r="F31" s="579"/>
      <c r="G31" s="593"/>
      <c r="H31" s="596"/>
      <c r="I31" s="602"/>
      <c r="J31" s="585"/>
      <c r="K31" s="162" t="s">
        <v>530</v>
      </c>
      <c r="L31" s="162"/>
      <c r="M31" s="163">
        <v>2761445.0999999996</v>
      </c>
      <c r="N31" s="163">
        <v>0</v>
      </c>
      <c r="O31" s="163">
        <v>0</v>
      </c>
      <c r="P31" s="163">
        <v>0</v>
      </c>
      <c r="Q31" s="177">
        <f>SUM(M31:P31)</f>
        <v>2761445.0999999996</v>
      </c>
      <c r="R31" s="167">
        <v>3</v>
      </c>
      <c r="S31" s="168" t="s">
        <v>282</v>
      </c>
      <c r="T31" s="165">
        <f t="shared" si="17"/>
        <v>920481.69999999984</v>
      </c>
      <c r="U31" s="169"/>
      <c r="V31" s="165"/>
      <c r="W31" s="165"/>
      <c r="X31" s="401"/>
    </row>
    <row r="32" spans="1:24" ht="37.5" x14ac:dyDescent="0.3">
      <c r="A32" s="589"/>
      <c r="B32" s="166"/>
      <c r="C32" s="580"/>
      <c r="D32" s="580"/>
      <c r="E32" s="580"/>
      <c r="F32" s="580"/>
      <c r="G32" s="594"/>
      <c r="H32" s="597"/>
      <c r="I32" s="603"/>
      <c r="J32" s="586"/>
      <c r="K32" s="162" t="s">
        <v>531</v>
      </c>
      <c r="L32" s="162"/>
      <c r="M32" s="163">
        <v>11672005.510962337</v>
      </c>
      <c r="N32" s="163">
        <v>2295930.2297642701</v>
      </c>
      <c r="O32" s="163">
        <v>1772808.810177034</v>
      </c>
      <c r="P32" s="163">
        <v>4216913.0926347105</v>
      </c>
      <c r="Q32" s="177">
        <f>SUM(M32:P32)</f>
        <v>19957657.643538352</v>
      </c>
      <c r="R32" s="167">
        <v>6</v>
      </c>
      <c r="S32" s="168" t="s">
        <v>311</v>
      </c>
      <c r="T32" s="165">
        <f t="shared" si="17"/>
        <v>3326276.2739230585</v>
      </c>
      <c r="U32" s="169"/>
      <c r="V32" s="165"/>
      <c r="W32" s="165"/>
      <c r="X32" s="401"/>
    </row>
    <row r="33" spans="1:24" x14ac:dyDescent="0.3">
      <c r="A33" s="171"/>
      <c r="B33" s="200"/>
      <c r="C33" s="198">
        <f>SUM(C28)</f>
        <v>106145536.97967155</v>
      </c>
      <c r="D33" s="198">
        <f t="shared" ref="D33:F33" si="18">SUM(D28)</f>
        <v>956025.66370360344</v>
      </c>
      <c r="E33" s="198">
        <f t="shared" si="18"/>
        <v>1075893.2189306021</v>
      </c>
      <c r="F33" s="198">
        <f t="shared" si="18"/>
        <v>3109743.5636043525</v>
      </c>
      <c r="G33" s="199">
        <f>SUM(C33:F33)</f>
        <v>111287199.42591012</v>
      </c>
      <c r="H33" s="201"/>
      <c r="I33" s="172"/>
      <c r="J33" s="173"/>
      <c r="K33" s="171"/>
      <c r="L33" s="171"/>
      <c r="M33" s="198">
        <f>SUM(M28:M32)</f>
        <v>96708408.314340502</v>
      </c>
      <c r="N33" s="198">
        <f>SUM(N28:N32)</f>
        <v>5443432.354941139</v>
      </c>
      <c r="O33" s="198">
        <f t="shared" ref="O33:P33" si="19">SUM(O28:O32)</f>
        <v>39532074.51068797</v>
      </c>
      <c r="P33" s="198">
        <f t="shared" si="19"/>
        <v>7037151.3293868769</v>
      </c>
      <c r="Q33" s="199">
        <f>SUM(M33:P33)</f>
        <v>148721066.5093565</v>
      </c>
      <c r="R33" s="201"/>
      <c r="S33" s="172"/>
      <c r="T33" s="173"/>
      <c r="U33" s="390"/>
      <c r="V33" s="173"/>
      <c r="W33" s="173"/>
    </row>
    <row r="34" spans="1:24" ht="37.5" x14ac:dyDescent="0.3">
      <c r="A34" s="598" t="s">
        <v>506</v>
      </c>
      <c r="B34" s="166">
        <f>3987968.9+4465410.44+190795712.06</f>
        <v>199249091.40000001</v>
      </c>
      <c r="C34" s="599">
        <f>984005913.929268+199249091.4</f>
        <v>1183255005.329268</v>
      </c>
      <c r="D34" s="599">
        <v>175551269.21333516</v>
      </c>
      <c r="E34" s="599">
        <v>33989326.773905948</v>
      </c>
      <c r="F34" s="599">
        <v>178568172.65487128</v>
      </c>
      <c r="G34" s="600">
        <f t="shared" si="0"/>
        <v>1571363773.9713802</v>
      </c>
      <c r="H34" s="604">
        <v>118056</v>
      </c>
      <c r="I34" s="605" t="s">
        <v>222</v>
      </c>
      <c r="J34" s="606">
        <f>SUM(G34/H34)</f>
        <v>13310.325387709056</v>
      </c>
      <c r="K34" s="162" t="s">
        <v>532</v>
      </c>
      <c r="L34" s="162"/>
      <c r="M34" s="163">
        <v>143162171.01395401</v>
      </c>
      <c r="N34" s="163">
        <v>39622000.044848077</v>
      </c>
      <c r="O34" s="163">
        <v>10812381.498870891</v>
      </c>
      <c r="P34" s="163">
        <v>11955200.7748319</v>
      </c>
      <c r="Q34" s="177">
        <f t="shared" si="13"/>
        <v>205551753.33250487</v>
      </c>
      <c r="R34" s="167">
        <v>12</v>
      </c>
      <c r="S34" s="168" t="s">
        <v>331</v>
      </c>
      <c r="T34" s="165">
        <f t="shared" si="17"/>
        <v>17129312.777708739</v>
      </c>
      <c r="U34" s="169"/>
      <c r="V34" s="165"/>
      <c r="W34" s="165"/>
      <c r="X34" s="401"/>
    </row>
    <row r="35" spans="1:24" ht="37.5" x14ac:dyDescent="0.3">
      <c r="A35" s="598"/>
      <c r="B35" s="166"/>
      <c r="C35" s="599"/>
      <c r="D35" s="599"/>
      <c r="E35" s="599"/>
      <c r="F35" s="599"/>
      <c r="G35" s="600"/>
      <c r="H35" s="604"/>
      <c r="I35" s="605"/>
      <c r="J35" s="606"/>
      <c r="K35" s="162" t="s">
        <v>533</v>
      </c>
      <c r="L35" s="162"/>
      <c r="M35" s="163">
        <v>367017454.50371397</v>
      </c>
      <c r="N35" s="163">
        <v>74033292.33780998</v>
      </c>
      <c r="O35" s="163">
        <v>13705417.895060699</v>
      </c>
      <c r="P35" s="163">
        <v>35049172.072543353</v>
      </c>
      <c r="Q35" s="177">
        <f>SUM(M35:P35)</f>
        <v>489805336.80912805</v>
      </c>
      <c r="R35" s="167">
        <v>12</v>
      </c>
      <c r="S35" s="168" t="s">
        <v>331</v>
      </c>
      <c r="T35" s="165">
        <f t="shared" si="17"/>
        <v>40817111.400760673</v>
      </c>
      <c r="U35" s="169"/>
      <c r="V35" s="165"/>
      <c r="W35" s="165"/>
      <c r="X35" s="401"/>
    </row>
    <row r="36" spans="1:24" x14ac:dyDescent="0.3">
      <c r="A36" s="598"/>
      <c r="B36" s="166"/>
      <c r="C36" s="599"/>
      <c r="D36" s="599"/>
      <c r="E36" s="599"/>
      <c r="F36" s="599"/>
      <c r="G36" s="600"/>
      <c r="H36" s="604"/>
      <c r="I36" s="605"/>
      <c r="J36" s="606"/>
      <c r="K36" s="162" t="s">
        <v>534</v>
      </c>
      <c r="L36" s="162"/>
      <c r="M36" s="163">
        <v>609945211.35984373</v>
      </c>
      <c r="N36" s="163">
        <v>20002322.165180773</v>
      </c>
      <c r="O36" s="163">
        <v>9051063.5217811856</v>
      </c>
      <c r="P36" s="163">
        <v>65044357.055988148</v>
      </c>
      <c r="Q36" s="177">
        <f>SUM(M36:P36)</f>
        <v>704042954.10279393</v>
      </c>
      <c r="R36" s="167">
        <v>12</v>
      </c>
      <c r="S36" s="168" t="s">
        <v>331</v>
      </c>
      <c r="T36" s="165">
        <f t="shared" si="17"/>
        <v>58670246.175232828</v>
      </c>
      <c r="U36" s="169"/>
      <c r="V36" s="165"/>
      <c r="W36" s="165"/>
      <c r="X36" s="401"/>
    </row>
    <row r="37" spans="1:24" x14ac:dyDescent="0.3">
      <c r="A37" s="176" t="s">
        <v>178</v>
      </c>
      <c r="B37" s="178">
        <f>SUM(B8:B34)</f>
        <v>767513661.88999999</v>
      </c>
      <c r="C37" s="177">
        <f>SUM(C8+C9+C10+C12+C13+C17+C21+C22+C23+C24+C25+C33+C34)</f>
        <v>2327558766.0499997</v>
      </c>
      <c r="D37" s="177">
        <f t="shared" ref="D37:G37" si="20">SUM(D8+D9+D10+D12+D13+D17+D21+D22+D23+D24+D25+D33+D34)</f>
        <v>225023242.22000006</v>
      </c>
      <c r="E37" s="177">
        <f t="shared" si="20"/>
        <v>66875799.090000018</v>
      </c>
      <c r="F37" s="177">
        <f t="shared" si="20"/>
        <v>246984205.21000034</v>
      </c>
      <c r="G37" s="177">
        <f t="shared" si="20"/>
        <v>2866442012.5699997</v>
      </c>
      <c r="H37" s="179"/>
      <c r="I37" s="177"/>
      <c r="J37" s="177"/>
      <c r="K37" s="176" t="s">
        <v>178</v>
      </c>
      <c r="L37" s="176"/>
      <c r="M37" s="177">
        <f>SUM(M8+M9+M10+M11+M12+M13+M14+M15+M16+M17+M21+M22+M23+M24+M25+M26+M27+M33+M34+M35+M36)</f>
        <v>2223079987.8199987</v>
      </c>
      <c r="N37" s="177">
        <f t="shared" ref="N37:Q37" si="21">SUM(N8+N9+N10+N11+N12+N13+N14+N15+N16+N17+N21+N22+N23+N24+N25+N26+N27+N33+N34+N35+N36)</f>
        <v>321408392.42999995</v>
      </c>
      <c r="O37" s="177">
        <f t="shared" si="21"/>
        <v>310896069.69999999</v>
      </c>
      <c r="P37" s="177">
        <f t="shared" si="21"/>
        <v>184840671.83999974</v>
      </c>
      <c r="Q37" s="177">
        <f t="shared" si="21"/>
        <v>3040225121.7899981</v>
      </c>
      <c r="R37" s="179"/>
      <c r="S37" s="177"/>
      <c r="T37" s="177"/>
      <c r="U37" s="165"/>
      <c r="V37" s="175"/>
      <c r="W37" s="165"/>
    </row>
    <row r="38" spans="1:24" x14ac:dyDescent="0.3">
      <c r="Q38" s="197">
        <v>3040225121.79</v>
      </c>
    </row>
    <row r="39" spans="1:24" x14ac:dyDescent="0.3">
      <c r="A39" s="180"/>
      <c r="B39" s="181">
        <v>767513661.88999999</v>
      </c>
      <c r="K39" s="180"/>
      <c r="L39" s="180"/>
    </row>
    <row r="40" spans="1:24" x14ac:dyDescent="0.3">
      <c r="Q40" s="197">
        <f>SUM(Q38-Q37)</f>
        <v>1.9073486328125E-6</v>
      </c>
    </row>
    <row r="44" spans="1:24" x14ac:dyDescent="0.3">
      <c r="Q44" s="197"/>
    </row>
  </sheetData>
  <mergeCells count="53">
    <mergeCell ref="I28:I32"/>
    <mergeCell ref="J28:J32"/>
    <mergeCell ref="H34:H36"/>
    <mergeCell ref="I34:I36"/>
    <mergeCell ref="J34:J36"/>
    <mergeCell ref="G28:G32"/>
    <mergeCell ref="H28:H32"/>
    <mergeCell ref="A34:A36"/>
    <mergeCell ref="C34:C36"/>
    <mergeCell ref="D34:D36"/>
    <mergeCell ref="E34:E36"/>
    <mergeCell ref="F34:F36"/>
    <mergeCell ref="G34:G36"/>
    <mergeCell ref="A28:A32"/>
    <mergeCell ref="C28:C32"/>
    <mergeCell ref="D28:D32"/>
    <mergeCell ref="E28:E32"/>
    <mergeCell ref="F28:F32"/>
    <mergeCell ref="A1:W1"/>
    <mergeCell ref="T4:T7"/>
    <mergeCell ref="K3:T3"/>
    <mergeCell ref="K4:K7"/>
    <mergeCell ref="M4:M7"/>
    <mergeCell ref="N4:N7"/>
    <mergeCell ref="O4:O7"/>
    <mergeCell ref="P4:P7"/>
    <mergeCell ref="Q4:Q7"/>
    <mergeCell ref="R4:R7"/>
    <mergeCell ref="S4:S7"/>
    <mergeCell ref="U4:U7"/>
    <mergeCell ref="V4:V7"/>
    <mergeCell ref="W4:W7"/>
    <mergeCell ref="E4:E7"/>
    <mergeCell ref="F4:F7"/>
    <mergeCell ref="G18:G20"/>
    <mergeCell ref="H18:H20"/>
    <mergeCell ref="I18:I20"/>
    <mergeCell ref="J18:J20"/>
    <mergeCell ref="A18:A20"/>
    <mergeCell ref="C18:C20"/>
    <mergeCell ref="D18:D20"/>
    <mergeCell ref="E18:E20"/>
    <mergeCell ref="F18:F20"/>
    <mergeCell ref="V2:W2"/>
    <mergeCell ref="A3:J3"/>
    <mergeCell ref="U3:W3"/>
    <mergeCell ref="G4:G7"/>
    <mergeCell ref="H4:H7"/>
    <mergeCell ref="I4:I7"/>
    <mergeCell ref="J4:J7"/>
    <mergeCell ref="A4:A7"/>
    <mergeCell ref="C4:C7"/>
    <mergeCell ref="D4:D7"/>
  </mergeCells>
  <printOptions horizontalCentered="1"/>
  <pageMargins left="7.874015748031496E-2" right="7.874015748031496E-2" top="0.19685039370078741" bottom="0.17" header="0.31496062992125984" footer="0.33"/>
  <pageSetup paperSize="9" scale="59" orientation="landscape" r:id="rId1"/>
  <rowBreaks count="1" manualBreakCount="1">
    <brk id="38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ตาราง 1</vt:lpstr>
      <vt:lpstr>ตาราง 2</vt:lpstr>
      <vt:lpstr>ตาราง 3</vt:lpstr>
      <vt:lpstr>ตาราง 4</vt:lpstr>
      <vt:lpstr>ตาราง 5</vt:lpstr>
      <vt:lpstr>ตาราง 6</vt:lpstr>
      <vt:lpstr>ตาราง 7</vt:lpstr>
      <vt:lpstr>วิเคราะห์ตาราง 7</vt:lpstr>
      <vt:lpstr>ตาราง 8</vt:lpstr>
      <vt:lpstr>วิเคราะห์ตาราง 8</vt:lpstr>
      <vt:lpstr>ตาราง 9</vt:lpstr>
      <vt:lpstr>วิเคราะห์ตาราง 9</vt:lpstr>
      <vt:lpstr>ตาราง 10</vt:lpstr>
      <vt:lpstr>ตาราง 2 (2)</vt:lpstr>
      <vt:lpstr>วิเคราะห์ตาราง 10</vt:lpstr>
      <vt:lpstr>ตาราง 11</vt:lpstr>
      <vt:lpstr>วิเคราะห์ตาราง 11</vt:lpstr>
      <vt:lpstr>ตาราง 12</vt:lpstr>
      <vt:lpstr>วิเคราะห์ตาราง 12</vt:lpstr>
      <vt:lpstr>'ตาราง 1'!Print_Area</vt:lpstr>
      <vt:lpstr>'ตาราง 10'!Print_Area</vt:lpstr>
      <vt:lpstr>'ตาราง 12'!Print_Area</vt:lpstr>
      <vt:lpstr>'ตาราง 3'!Print_Area</vt:lpstr>
      <vt:lpstr>'ตาราง 4'!Print_Area</vt:lpstr>
      <vt:lpstr>'ตาราง 5'!Print_Area</vt:lpstr>
      <vt:lpstr>'ตาราง 7'!Print_Area</vt:lpstr>
      <vt:lpstr>'ตาราง 8'!Print_Area</vt:lpstr>
      <vt:lpstr>'ตาราง 9'!Print_Area</vt:lpstr>
      <vt:lpstr>'วิเคราะห์ตาราง 8'!Print_Area</vt:lpstr>
      <vt:lpstr>'ตาราง 3'!Print_Titles</vt:lpstr>
      <vt:lpstr>'ตาราง 7'!Print_Titles</vt:lpstr>
      <vt:lpstr>'ตาราง 8'!Print_Titles</vt:lpstr>
      <vt:lpstr>'วิเคราะห์ตาราง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Thanyapatt Chaisakpokin</dc:creator>
  <cp:lastModifiedBy>thanyapatt</cp:lastModifiedBy>
  <cp:lastPrinted>2019-02-24T09:54:25Z</cp:lastPrinted>
  <dcterms:created xsi:type="dcterms:W3CDTF">2019-01-24T08:29:57Z</dcterms:created>
  <dcterms:modified xsi:type="dcterms:W3CDTF">2019-02-26T09:59:22Z</dcterms:modified>
</cp:coreProperties>
</file>